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saija.sippola\Desktop\vuosikok\"/>
    </mc:Choice>
  </mc:AlternateContent>
  <xr:revisionPtr revIDLastSave="0" documentId="13_ncr:1_{3FC39B73-E763-45CA-B410-08F965F0DF03}" xr6:coauthVersionLast="43" xr6:coauthVersionMax="43" xr10:uidLastSave="{00000000-0000-0000-0000-000000000000}"/>
  <bookViews>
    <workbookView xWindow="-120" yWindow="-120" windowWidth="27615" windowHeight="16440" xr2:uid="{00000000-000D-0000-FFFF-FFFF00000000}"/>
  </bookViews>
  <sheets>
    <sheet name="2019-2020" sheetId="18" r:id="rId1"/>
  </sheets>
  <definedNames>
    <definedName name="_xlnm.Print_Area" localSheetId="0">'2019-2020'!$A$1:$AH$61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9" i="18" l="1"/>
  <c r="AB39" i="18" s="1"/>
  <c r="AC57" i="18" l="1"/>
  <c r="AC51" i="18"/>
  <c r="AC47" i="18"/>
  <c r="AC19" i="18"/>
  <c r="AC39" i="18" s="1"/>
  <c r="AC41" i="18" s="1"/>
  <c r="AC53" i="18" s="1"/>
  <c r="AC59" i="18" s="1"/>
  <c r="AC17" i="18"/>
  <c r="Z57" i="18"/>
  <c r="Z47" i="18"/>
  <c r="Z39" i="18"/>
  <c r="Z17" i="18"/>
  <c r="W11" i="18"/>
  <c r="P57" i="18"/>
  <c r="P47" i="18"/>
  <c r="P38" i="18"/>
  <c r="P19" i="18"/>
  <c r="P39" i="18" s="1"/>
  <c r="P17" i="18"/>
  <c r="M57" i="18"/>
  <c r="M47" i="18"/>
  <c r="M39" i="18"/>
  <c r="M17" i="18"/>
  <c r="M41" i="18" s="1"/>
  <c r="M53" i="18" s="1"/>
  <c r="J57" i="18"/>
  <c r="J47" i="18"/>
  <c r="J39" i="18"/>
  <c r="J17" i="18"/>
  <c r="J41" i="18" s="1"/>
  <c r="J53" i="18" s="1"/>
  <c r="G57" i="18"/>
  <c r="G47" i="18"/>
  <c r="G39" i="18"/>
  <c r="G17" i="18"/>
  <c r="G41" i="18" s="1"/>
  <c r="G53" i="18" s="1"/>
  <c r="D57" i="18"/>
  <c r="D47" i="18"/>
  <c r="D39" i="18"/>
  <c r="D17" i="18"/>
  <c r="D41" i="18" s="1"/>
  <c r="D53" i="18" s="1"/>
  <c r="AH57" i="18"/>
  <c r="AD57" i="18"/>
  <c r="AB57" i="18"/>
  <c r="AA57" i="18"/>
  <c r="Y57" i="18"/>
  <c r="X57" i="18"/>
  <c r="W57" i="18"/>
  <c r="V57" i="18"/>
  <c r="T57" i="18"/>
  <c r="R57" i="18"/>
  <c r="O57" i="18"/>
  <c r="N57" i="18"/>
  <c r="L57" i="18"/>
  <c r="K57" i="18"/>
  <c r="I57" i="18"/>
  <c r="H57" i="18"/>
  <c r="F57" i="18"/>
  <c r="C57" i="18"/>
  <c r="AH56" i="18"/>
  <c r="AG56" i="18"/>
  <c r="AG57" i="18" s="1"/>
  <c r="AF56" i="18"/>
  <c r="AF57" i="18" s="1"/>
  <c r="AE56" i="18"/>
  <c r="AH53" i="18"/>
  <c r="AH51" i="18"/>
  <c r="AD51" i="18"/>
  <c r="AB51" i="18"/>
  <c r="AG50" i="18"/>
  <c r="AG51" i="18" s="1"/>
  <c r="AF50" i="18"/>
  <c r="AF51" i="18" s="1"/>
  <c r="AE50" i="18"/>
  <c r="AE51" i="18" s="1"/>
  <c r="AH47" i="18"/>
  <c r="AD47" i="18"/>
  <c r="AB47" i="18"/>
  <c r="AA47" i="18"/>
  <c r="Y47" i="18"/>
  <c r="X47" i="18"/>
  <c r="W47" i="18"/>
  <c r="T47" i="18"/>
  <c r="R47" i="18"/>
  <c r="Q47" i="18"/>
  <c r="O47" i="18"/>
  <c r="N47" i="18"/>
  <c r="L47" i="18"/>
  <c r="K47" i="18"/>
  <c r="I47" i="18"/>
  <c r="H47" i="18"/>
  <c r="F47" i="18"/>
  <c r="E47" i="18"/>
  <c r="C47" i="18"/>
  <c r="AG46" i="18"/>
  <c r="AF46" i="18"/>
  <c r="AH45" i="18"/>
  <c r="AG45" i="18"/>
  <c r="AF45" i="18"/>
  <c r="AE45" i="18"/>
  <c r="AH44" i="18"/>
  <c r="AG44" i="18"/>
  <c r="AF44" i="18"/>
  <c r="AE44" i="18"/>
  <c r="AH41" i="18"/>
  <c r="AH39" i="18"/>
  <c r="Y39" i="18"/>
  <c r="U39" i="18"/>
  <c r="U41" i="18" s="1"/>
  <c r="U53" i="18" s="1"/>
  <c r="U59" i="18" s="1"/>
  <c r="T39" i="18"/>
  <c r="R39" i="18"/>
  <c r="L39" i="18"/>
  <c r="I39" i="18"/>
  <c r="F39" i="18"/>
  <c r="C39" i="18"/>
  <c r="X38" i="18"/>
  <c r="AG38" i="18" s="1"/>
  <c r="W38" i="18"/>
  <c r="AF38" i="18" s="1"/>
  <c r="V38" i="18"/>
  <c r="AE38" i="18" s="1"/>
  <c r="AD37" i="18"/>
  <c r="AG37" i="18" s="1"/>
  <c r="W37" i="18"/>
  <c r="AF37" i="18" s="1"/>
  <c r="V37" i="18"/>
  <c r="AE37" i="18" s="1"/>
  <c r="W36" i="18"/>
  <c r="AF36" i="18" s="1"/>
  <c r="V36" i="18"/>
  <c r="AE36" i="18" s="1"/>
  <c r="Q36" i="18"/>
  <c r="X36" i="18" s="1"/>
  <c r="AG36" i="18" s="1"/>
  <c r="X35" i="18"/>
  <c r="AG35" i="18" s="1"/>
  <c r="W35" i="18"/>
  <c r="AF35" i="18" s="1"/>
  <c r="V35" i="18"/>
  <c r="AE35" i="18" s="1"/>
  <c r="W34" i="18"/>
  <c r="AF34" i="18" s="1"/>
  <c r="V34" i="18"/>
  <c r="AE34" i="18" s="1"/>
  <c r="Q34" i="18"/>
  <c r="X34" i="18" s="1"/>
  <c r="AG34" i="18" s="1"/>
  <c r="AD33" i="18"/>
  <c r="AA33" i="18"/>
  <c r="W33" i="18"/>
  <c r="AF33" i="18" s="1"/>
  <c r="V33" i="18"/>
  <c r="AE33" i="18" s="1"/>
  <c r="Q33" i="18"/>
  <c r="N33" i="18"/>
  <c r="E33" i="18"/>
  <c r="X32" i="18"/>
  <c r="AG32" i="18" s="1"/>
  <c r="W32" i="18"/>
  <c r="AF32" i="18" s="1"/>
  <c r="V32" i="18"/>
  <c r="AE32" i="18" s="1"/>
  <c r="X31" i="18"/>
  <c r="AG31" i="18" s="1"/>
  <c r="W31" i="18"/>
  <c r="AF31" i="18" s="1"/>
  <c r="V31" i="18"/>
  <c r="AE31" i="18" s="1"/>
  <c r="W30" i="18"/>
  <c r="AF30" i="18" s="1"/>
  <c r="V30" i="18"/>
  <c r="AE30" i="18" s="1"/>
  <c r="Q30" i="18"/>
  <c r="X30" i="18" s="1"/>
  <c r="AG30" i="18" s="1"/>
  <c r="W29" i="18"/>
  <c r="AF29" i="18" s="1"/>
  <c r="V29" i="18"/>
  <c r="AE29" i="18" s="1"/>
  <c r="Q29" i="18"/>
  <c r="X29" i="18" s="1"/>
  <c r="AG29" i="18" s="1"/>
  <c r="W28" i="18"/>
  <c r="AF28" i="18" s="1"/>
  <c r="V28" i="18"/>
  <c r="AE28" i="18" s="1"/>
  <c r="Q28" i="18"/>
  <c r="N28" i="18"/>
  <c r="E28" i="18"/>
  <c r="X27" i="18"/>
  <c r="AG27" i="18" s="1"/>
  <c r="W27" i="18"/>
  <c r="AF27" i="18" s="1"/>
  <c r="V27" i="18"/>
  <c r="AE27" i="18" s="1"/>
  <c r="X26" i="18"/>
  <c r="AG26" i="18" s="1"/>
  <c r="W26" i="18"/>
  <c r="AF26" i="18" s="1"/>
  <c r="V26" i="18"/>
  <c r="AE26" i="18" s="1"/>
  <c r="Q26" i="18"/>
  <c r="AA25" i="18"/>
  <c r="X25" i="18"/>
  <c r="AG25" i="18" s="1"/>
  <c r="W25" i="18"/>
  <c r="AF25" i="18" s="1"/>
  <c r="V25" i="18"/>
  <c r="AE25" i="18" s="1"/>
  <c r="E25" i="18"/>
  <c r="W24" i="18"/>
  <c r="AF24" i="18" s="1"/>
  <c r="V24" i="18"/>
  <c r="AE24" i="18" s="1"/>
  <c r="Q24" i="18"/>
  <c r="X24" i="18" s="1"/>
  <c r="AG24" i="18" s="1"/>
  <c r="AD23" i="18"/>
  <c r="W23" i="18"/>
  <c r="AF23" i="18" s="1"/>
  <c r="V23" i="18"/>
  <c r="AE23" i="18" s="1"/>
  <c r="Q23" i="18"/>
  <c r="X23" i="18" s="1"/>
  <c r="X22" i="18"/>
  <c r="AG22" i="18" s="1"/>
  <c r="W22" i="18"/>
  <c r="AF22" i="18" s="1"/>
  <c r="V22" i="18"/>
  <c r="AE22" i="18" s="1"/>
  <c r="X21" i="18"/>
  <c r="AG21" i="18" s="1"/>
  <c r="W21" i="18"/>
  <c r="AF21" i="18" s="1"/>
  <c r="V21" i="18"/>
  <c r="AE21" i="18" s="1"/>
  <c r="AD19" i="18"/>
  <c r="AA19" i="18"/>
  <c r="AA39" i="18" s="1"/>
  <c r="V19" i="18"/>
  <c r="AE19" i="18" s="1"/>
  <c r="Q19" i="18"/>
  <c r="O39" i="18"/>
  <c r="N19" i="18"/>
  <c r="N39" i="18" s="1"/>
  <c r="K19" i="18"/>
  <c r="K39" i="18" s="1"/>
  <c r="H19" i="18"/>
  <c r="H39" i="18" s="1"/>
  <c r="E19" i="18"/>
  <c r="AH17" i="18"/>
  <c r="AD17" i="18"/>
  <c r="AB17" i="18"/>
  <c r="AA17" i="18"/>
  <c r="Y17" i="18"/>
  <c r="T17" i="18"/>
  <c r="T41" i="18" s="1"/>
  <c r="R17" i="18"/>
  <c r="O17" i="18"/>
  <c r="N17" i="18"/>
  <c r="L17" i="18"/>
  <c r="K17" i="18"/>
  <c r="I17" i="18"/>
  <c r="H17" i="18"/>
  <c r="F17" i="18"/>
  <c r="E17" i="18"/>
  <c r="C17" i="18"/>
  <c r="W16" i="18"/>
  <c r="AF16" i="18" s="1"/>
  <c r="V16" i="18"/>
  <c r="AE16" i="18" s="1"/>
  <c r="Q16" i="18"/>
  <c r="X16" i="18" s="1"/>
  <c r="AG16" i="18" s="1"/>
  <c r="W15" i="18"/>
  <c r="AF15" i="18" s="1"/>
  <c r="V15" i="18"/>
  <c r="AE15" i="18" s="1"/>
  <c r="Q15" i="18"/>
  <c r="X14" i="18"/>
  <c r="AG14" i="18" s="1"/>
  <c r="W14" i="18"/>
  <c r="AF14" i="18" s="1"/>
  <c r="V14" i="18"/>
  <c r="AE14" i="18" s="1"/>
  <c r="X13" i="18"/>
  <c r="AG13" i="18" s="1"/>
  <c r="W13" i="18"/>
  <c r="AF13" i="18" s="1"/>
  <c r="V13" i="18"/>
  <c r="AE13" i="18" s="1"/>
  <c r="X12" i="18"/>
  <c r="AG12" i="18" s="1"/>
  <c r="W12" i="18"/>
  <c r="AF12" i="18" s="1"/>
  <c r="V12" i="18"/>
  <c r="AE12" i="18" s="1"/>
  <c r="X11" i="18"/>
  <c r="AG11" i="18" s="1"/>
  <c r="V11" i="18"/>
  <c r="AE11" i="18" s="1"/>
  <c r="P41" i="18" l="1"/>
  <c r="AG47" i="18"/>
  <c r="Q17" i="18"/>
  <c r="T53" i="18"/>
  <c r="T59" i="18" s="1"/>
  <c r="K41" i="18"/>
  <c r="K53" i="18" s="1"/>
  <c r="K59" i="18" s="1"/>
  <c r="AD39" i="18"/>
  <c r="X28" i="18"/>
  <c r="AG28" i="18" s="1"/>
  <c r="AE57" i="18"/>
  <c r="C41" i="18"/>
  <c r="D59" i="18"/>
  <c r="G59" i="18"/>
  <c r="J59" i="18"/>
  <c r="M59" i="18"/>
  <c r="P53" i="18"/>
  <c r="P59" i="18" s="1"/>
  <c r="C53" i="18"/>
  <c r="C59" i="18" s="1"/>
  <c r="AA41" i="18"/>
  <c r="AA53" i="18" s="1"/>
  <c r="AA59" i="18" s="1"/>
  <c r="E39" i="18"/>
  <c r="E41" i="18" s="1"/>
  <c r="E53" i="18" s="1"/>
  <c r="E59" i="18" s="1"/>
  <c r="AG23" i="18"/>
  <c r="X33" i="18"/>
  <c r="AG33" i="18" s="1"/>
  <c r="V47" i="18"/>
  <c r="AE47" i="18" s="1"/>
  <c r="R41" i="18"/>
  <c r="R53" i="18" s="1"/>
  <c r="R59" i="18" s="1"/>
  <c r="Q39" i="18"/>
  <c r="Q41" i="18" s="1"/>
  <c r="Q53" i="18" s="1"/>
  <c r="Q59" i="18" s="1"/>
  <c r="AF47" i="18"/>
  <c r="Z41" i="18"/>
  <c r="Z53" i="18" s="1"/>
  <c r="Z59" i="18" s="1"/>
  <c r="Y41" i="18"/>
  <c r="Y53" i="18" s="1"/>
  <c r="Y59" i="18" s="1"/>
  <c r="L41" i="18"/>
  <c r="L53" i="18" s="1"/>
  <c r="L59" i="18" s="1"/>
  <c r="F41" i="18"/>
  <c r="F53" i="18" s="1"/>
  <c r="F59" i="18" s="1"/>
  <c r="AB41" i="18"/>
  <c r="AB53" i="18" s="1"/>
  <c r="AB59" i="18" s="1"/>
  <c r="O41" i="18"/>
  <c r="O53" i="18" s="1"/>
  <c r="O59" i="18" s="1"/>
  <c r="I41" i="18"/>
  <c r="I53" i="18" s="1"/>
  <c r="I59" i="18" s="1"/>
  <c r="V39" i="18"/>
  <c r="AE39" i="18" s="1"/>
  <c r="W19" i="18"/>
  <c r="AF19" i="18" s="1"/>
  <c r="AF39" i="18" s="1"/>
  <c r="W17" i="18"/>
  <c r="AF11" i="18"/>
  <c r="AF17" i="18" s="1"/>
  <c r="H41" i="18"/>
  <c r="H53" i="18" s="1"/>
  <c r="H59" i="18" s="1"/>
  <c r="AD41" i="18"/>
  <c r="AD53" i="18" s="1"/>
  <c r="AD59" i="18" s="1"/>
  <c r="W39" i="18"/>
  <c r="N41" i="18"/>
  <c r="N53" i="18" s="1"/>
  <c r="N59" i="18" s="1"/>
  <c r="V17" i="18"/>
  <c r="AE17" i="18" s="1"/>
  <c r="X19" i="18"/>
  <c r="X15" i="18"/>
  <c r="AG15" i="18" s="1"/>
  <c r="AG17" i="18" s="1"/>
  <c r="AE59" i="18" l="1"/>
  <c r="AF41" i="18"/>
  <c r="AF53" i="18" s="1"/>
  <c r="AF59" i="18" s="1"/>
  <c r="V59" i="18"/>
  <c r="V41" i="18"/>
  <c r="AE41" i="18" s="1"/>
  <c r="V53" i="18"/>
  <c r="AE53" i="18" s="1"/>
  <c r="W41" i="18"/>
  <c r="W53" i="18" s="1"/>
  <c r="W59" i="18" s="1"/>
  <c r="X39" i="18"/>
  <c r="AG19" i="18"/>
  <c r="AG39" i="18" s="1"/>
  <c r="AG41" i="18" s="1"/>
  <c r="AG53" i="18" s="1"/>
  <c r="AG59" i="18" s="1"/>
  <c r="X17" i="18"/>
  <c r="X41" i="18" l="1"/>
  <c r="X53" i="18" s="1"/>
  <c r="X59" i="18" s="1"/>
</calcChain>
</file>

<file path=xl/sharedStrings.xml><?xml version="1.0" encoding="utf-8"?>
<sst xmlns="http://schemas.openxmlformats.org/spreadsheetml/2006/main" count="89" uniqueCount="64">
  <si>
    <t>Varsinainen toiminta</t>
  </si>
  <si>
    <t>Tuotot yhteensä</t>
  </si>
  <si>
    <t>Henkilöstökulut</t>
  </si>
  <si>
    <t>(palkat, sos.kulut)</t>
  </si>
  <si>
    <t>Poistot</t>
  </si>
  <si>
    <t>Muut toimintakulut</t>
  </si>
  <si>
    <t>Kulut yhteensä</t>
  </si>
  <si>
    <t>Varainhankinta</t>
  </si>
  <si>
    <t>Varainhankinta yhteensä</t>
  </si>
  <si>
    <t>Sijoitus- ja rahoitustoiminta</t>
  </si>
  <si>
    <t>Rahoitustuotot</t>
  </si>
  <si>
    <t>Kulujäämä</t>
  </si>
  <si>
    <t>Yleisavustukset</t>
  </si>
  <si>
    <t>Toiminta-avustus</t>
  </si>
  <si>
    <t>Avustukset yhteensä</t>
  </si>
  <si>
    <t>Tilikauden tulos</t>
  </si>
  <si>
    <t>JÄRJESTÖ</t>
  </si>
  <si>
    <t>YHTEENSÄ</t>
  </si>
  <si>
    <t>Matka- ja majoituskulut</t>
  </si>
  <si>
    <t>Varsinaisen toiminnan kulujäämä</t>
  </si>
  <si>
    <t>Sijoitus- ja rahoitustoiminta yhteensä</t>
  </si>
  <si>
    <t>Toimistokulut (posti, puhelin…)</t>
  </si>
  <si>
    <t>Vakuutukset</t>
  </si>
  <si>
    <t>Kilpailutoiminnan ostopalvelut</t>
  </si>
  <si>
    <t>Kurssitoiminnan ostopalvelut</t>
  </si>
  <si>
    <t>Osanottomaksutuotot</t>
  </si>
  <si>
    <t>Kurssimaksutuotot</t>
  </si>
  <si>
    <t>Jäsenmaksutuotot</t>
  </si>
  <si>
    <t>Hallinnon ostopalvelut</t>
  </si>
  <si>
    <t>Muut materiaali- ja tarvikekulut</t>
  </si>
  <si>
    <t>Kilpailumateriaali</t>
  </si>
  <si>
    <t>Tiedotusmateriaali</t>
  </si>
  <si>
    <t>Koulutus</t>
  </si>
  <si>
    <t>Muut varainhankinnan tuotot</t>
  </si>
  <si>
    <t>ESR-hanketuki</t>
  </si>
  <si>
    <t>Muut varainhankinnan kulut</t>
  </si>
  <si>
    <t>Erityisavustukset</t>
  </si>
  <si>
    <t>OPISKELIJAT - KULTTUURI</t>
  </si>
  <si>
    <t>OPISKELIJAT yht.</t>
  </si>
  <si>
    <t>OPISK. - TUTOR</t>
  </si>
  <si>
    <t>Materiaalimyynnin tuotot</t>
  </si>
  <si>
    <t>Toiminnan muut tuotot</t>
  </si>
  <si>
    <t>OPISKELIJAT - LIIKUNTA</t>
  </si>
  <si>
    <t>OPISK. - AA-PALV.</t>
  </si>
  <si>
    <t>HENKILÖSTÖTOIMINTA</t>
  </si>
  <si>
    <t>Kokous, neuvottelu, edustus</t>
  </si>
  <si>
    <t>Toimitilakulut</t>
  </si>
  <si>
    <t>Kone- ja kalustokulut</t>
  </si>
  <si>
    <t>Seminaaritoiminnan ostopalvelut</t>
  </si>
  <si>
    <t>Markkinointimateriaali</t>
  </si>
  <si>
    <t>tot 12/2014</t>
  </si>
  <si>
    <t>ta 2017-18</t>
  </si>
  <si>
    <t>OPISK. - HANKKEET</t>
  </si>
  <si>
    <t>Akira (KP 119)</t>
  </si>
  <si>
    <t>tot 2016-17</t>
  </si>
  <si>
    <t>ta 2018-19</t>
  </si>
  <si>
    <t>HANKKEET:</t>
  </si>
  <si>
    <t>Hanketoiminnan kulut</t>
  </si>
  <si>
    <t>ta 2019-20</t>
  </si>
  <si>
    <t>Zoomi (1103)</t>
  </si>
  <si>
    <t>Asuntolatoiminta (KP 1105)</t>
  </si>
  <si>
    <t>Liikettä amiksiin (KP 1106)</t>
  </si>
  <si>
    <t>Työkykypassi (KP 117)</t>
  </si>
  <si>
    <t>TALOUSARVIO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</si>
</sst>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/>
    <xf numFmtId="0" fontId="0" fillId="0" borderId="0" xfId="0" applyFill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1" fillId="0" borderId="0" xfId="0" applyFont="1" applyFill="1"/>
    <xf numFmtId="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ill="1" applyBorder="1"/>
    <xf numFmtId="3" fontId="1" fillId="0" borderId="4" xfId="0" applyNumberFormat="1" applyFont="1" applyFill="1" applyBorder="1"/>
    <xf numFmtId="3" fontId="1" fillId="2" borderId="3" xfId="0" applyNumberFormat="1" applyFont="1" applyFill="1" applyBorder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1" xfId="0" applyNumberFormat="1" applyFont="1" applyBorder="1"/>
    <xf numFmtId="0" fontId="3" fillId="0" borderId="0" xfId="0" applyFont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0" fontId="3" fillId="0" borderId="0" xfId="0" applyFont="1" applyFill="1"/>
    <xf numFmtId="3" fontId="1" fillId="0" borderId="4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4" xfId="0" applyNumberFormat="1" applyFont="1" applyFill="1" applyBorder="1"/>
    <xf numFmtId="3" fontId="1" fillId="2" borderId="7" xfId="0" applyNumberFormat="1" applyFont="1" applyFill="1" applyBorder="1"/>
    <xf numFmtId="3" fontId="4" fillId="2" borderId="4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0" borderId="13" xfId="0" applyNumberFormat="1" applyFont="1" applyFill="1" applyBorder="1"/>
    <xf numFmtId="3" fontId="3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3" fontId="1" fillId="3" borderId="4" xfId="0" applyNumberFormat="1" applyFont="1" applyFill="1" applyBorder="1"/>
    <xf numFmtId="0" fontId="3" fillId="0" borderId="0" xfId="0" applyFont="1" applyFill="1" applyAlignment="1">
      <alignment horizontal="center"/>
    </xf>
    <xf numFmtId="3" fontId="1" fillId="2" borderId="0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3" fontId="1" fillId="3" borderId="1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4" fillId="0" borderId="4" xfId="0" applyNumberFormat="1" applyFont="1" applyFill="1" applyBorder="1"/>
    <xf numFmtId="0" fontId="3" fillId="0" borderId="6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0" xfId="0" applyFont="1" applyFill="1"/>
    <xf numFmtId="3" fontId="1" fillId="3" borderId="7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0" fontId="0" fillId="3" borderId="9" xfId="0" applyFill="1" applyBorder="1" applyAlignment="1"/>
    <xf numFmtId="0" fontId="0" fillId="0" borderId="9" xfId="0" applyFill="1" applyBorder="1" applyAlignment="1"/>
    <xf numFmtId="0" fontId="1" fillId="3" borderId="9" xfId="0" applyFont="1" applyFill="1" applyBorder="1" applyAlignment="1">
      <alignment horizontal="center"/>
    </xf>
    <xf numFmtId="0" fontId="0" fillId="3" borderId="10" xfId="0" applyFill="1" applyBorder="1" applyAlignment="1"/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</xdr:colOff>
      <xdr:row>0</xdr:row>
      <xdr:rowOff>212912</xdr:rowOff>
    </xdr:from>
    <xdr:to>
      <xdr:col>1</xdr:col>
      <xdr:colOff>848285</xdr:colOff>
      <xdr:row>3</xdr:row>
      <xdr:rowOff>68356</xdr:rowOff>
    </xdr:to>
    <xdr:pic>
      <xdr:nvPicPr>
        <xdr:cNvPr id="2" name="Picture 2" descr="SAKU_mv_ihan_pieni_RGB">
          <a:extLst>
            <a:ext uri="{FF2B5EF4-FFF2-40B4-BE49-F238E27FC236}">
              <a16:creationId xmlns:a16="http://schemas.microsoft.com/office/drawing/2014/main" id="{163AC962-A931-476B-BF3B-1011D3AA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5" y="212912"/>
          <a:ext cx="1076325" cy="512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D771-3BD0-43F6-B277-9812186F0E3F}">
  <sheetPr>
    <pageSetUpPr fitToPage="1"/>
  </sheetPr>
  <dimension ref="A1:AK61"/>
  <sheetViews>
    <sheetView tabSelected="1" zoomScaleNormal="100" zoomScaleSheetLayoutView="11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RowHeight="12.75" x14ac:dyDescent="0.2"/>
  <cols>
    <col min="1" max="1" width="5.28515625" customWidth="1"/>
    <col min="2" max="2" width="27" customWidth="1"/>
    <col min="3" max="4" width="10.7109375" customWidth="1"/>
    <col min="5" max="6" width="10.7109375" style="3" customWidth="1"/>
    <col min="7" max="14" width="10.7109375" style="7" customWidth="1"/>
    <col min="15" max="17" width="11.42578125" style="7" customWidth="1"/>
    <col min="18" max="18" width="12.140625" style="7" hidden="1" customWidth="1"/>
    <col min="19" max="19" width="10.7109375" style="7" hidden="1" customWidth="1"/>
    <col min="20" max="21" width="11.85546875" style="7" hidden="1" customWidth="1"/>
    <col min="22" max="27" width="10.7109375" style="7" customWidth="1"/>
    <col min="28" max="32" width="10.7109375" style="3" customWidth="1"/>
    <col min="33" max="33" width="10.7109375" style="2" customWidth="1"/>
    <col min="34" max="34" width="10.7109375" style="3" hidden="1" customWidth="1"/>
  </cols>
  <sheetData>
    <row r="1" spans="1:35" ht="17.25" customHeight="1" x14ac:dyDescent="0.2">
      <c r="O1" s="71" t="s">
        <v>56</v>
      </c>
      <c r="P1" s="53"/>
    </row>
    <row r="2" spans="1:35" ht="17.25" customHeight="1" x14ac:dyDescent="0.2">
      <c r="A2" s="14"/>
      <c r="B2" s="14"/>
      <c r="C2" s="14"/>
      <c r="D2" s="14"/>
      <c r="E2" s="15"/>
      <c r="F2" s="15"/>
      <c r="G2" s="16"/>
      <c r="H2" s="16"/>
      <c r="I2" s="16"/>
      <c r="J2" s="16"/>
      <c r="K2" s="16"/>
      <c r="L2" s="16"/>
      <c r="M2" s="16"/>
      <c r="N2" s="16"/>
      <c r="O2" s="68" t="s">
        <v>53</v>
      </c>
      <c r="P2" s="6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5"/>
      <c r="AC2" s="15"/>
      <c r="AD2" s="15"/>
      <c r="AE2" s="15"/>
      <c r="AF2" s="15"/>
      <c r="AG2" s="17"/>
      <c r="AH2" s="15"/>
    </row>
    <row r="3" spans="1:35" ht="17.25" customHeight="1" x14ac:dyDescent="0.2">
      <c r="A3" s="14"/>
      <c r="B3" s="18"/>
      <c r="C3" s="18"/>
      <c r="D3" s="18"/>
      <c r="E3" s="15"/>
      <c r="F3" s="15"/>
      <c r="G3" s="16"/>
      <c r="H3" s="16"/>
      <c r="I3" s="16"/>
      <c r="J3" s="16"/>
      <c r="K3" s="16"/>
      <c r="L3" s="16"/>
      <c r="M3" s="16"/>
      <c r="N3" s="16"/>
      <c r="O3" s="68" t="s">
        <v>61</v>
      </c>
      <c r="P3" s="66"/>
      <c r="Q3" s="67"/>
      <c r="R3" s="16"/>
      <c r="S3" s="16"/>
      <c r="T3" s="16"/>
      <c r="U3" s="16"/>
      <c r="V3" s="16"/>
      <c r="W3" s="16"/>
      <c r="X3" s="16"/>
      <c r="Y3" s="16"/>
      <c r="Z3" s="16"/>
      <c r="AA3" s="16"/>
      <c r="AB3" s="15"/>
      <c r="AC3" s="15"/>
      <c r="AD3" s="15"/>
      <c r="AE3" s="15"/>
      <c r="AF3" s="15"/>
      <c r="AG3" s="17"/>
      <c r="AH3" s="15"/>
    </row>
    <row r="4" spans="1:35" ht="17.25" customHeight="1" x14ac:dyDescent="0.2">
      <c r="A4" s="14"/>
      <c r="B4" s="18"/>
      <c r="C4" s="18"/>
      <c r="D4" s="18"/>
      <c r="E4" s="15"/>
      <c r="F4" s="15"/>
      <c r="G4" s="16"/>
      <c r="H4" s="16"/>
      <c r="I4" s="16"/>
      <c r="J4" s="16"/>
      <c r="K4" s="16"/>
      <c r="L4" s="16"/>
      <c r="M4" s="16"/>
      <c r="N4" s="16"/>
      <c r="O4" s="68" t="s">
        <v>62</v>
      </c>
      <c r="P4" s="68"/>
      <c r="Q4" s="67"/>
      <c r="R4" s="16"/>
      <c r="S4" s="16"/>
      <c r="T4" s="16"/>
      <c r="U4" s="16"/>
      <c r="V4" s="16"/>
      <c r="W4" s="16"/>
      <c r="X4" s="16"/>
      <c r="Y4" s="16"/>
      <c r="Z4" s="16"/>
      <c r="AA4" s="16"/>
      <c r="AB4" s="15"/>
      <c r="AC4" s="15"/>
      <c r="AD4" s="15"/>
      <c r="AE4" s="15"/>
      <c r="AF4" s="15"/>
      <c r="AG4" s="17"/>
      <c r="AH4" s="15"/>
    </row>
    <row r="5" spans="1:35" ht="17.25" customHeight="1" x14ac:dyDescent="0.25">
      <c r="A5" s="20" t="s">
        <v>63</v>
      </c>
      <c r="B5" s="18"/>
      <c r="D5" s="18"/>
      <c r="E5" s="15"/>
      <c r="F5" s="15"/>
      <c r="G5" s="16"/>
      <c r="H5" s="16"/>
      <c r="I5" s="16"/>
      <c r="J5" s="16"/>
      <c r="K5" s="16"/>
      <c r="L5" s="16"/>
      <c r="M5" s="16"/>
      <c r="N5" s="16"/>
      <c r="O5" s="68" t="s">
        <v>59</v>
      </c>
      <c r="P5" s="68"/>
      <c r="R5" s="16"/>
      <c r="S5" s="16"/>
      <c r="T5" s="16"/>
      <c r="U5" s="16"/>
      <c r="V5" s="20"/>
      <c r="W5" s="16"/>
      <c r="X5" s="16"/>
      <c r="Y5" s="19"/>
      <c r="Z5" s="19"/>
      <c r="AA5" s="16"/>
      <c r="AB5" s="15"/>
      <c r="AC5" s="15"/>
      <c r="AD5" s="15"/>
      <c r="AE5" s="20"/>
      <c r="AF5" s="15"/>
      <c r="AG5" s="17"/>
      <c r="AH5" s="15"/>
    </row>
    <row r="6" spans="1:35" ht="17.25" customHeight="1" thickBot="1" x14ac:dyDescent="0.25">
      <c r="B6" s="18"/>
      <c r="C6" s="52"/>
      <c r="D6" s="18"/>
      <c r="E6" s="15"/>
      <c r="F6" s="15"/>
      <c r="G6" s="16"/>
      <c r="H6" s="16"/>
      <c r="I6" s="16"/>
      <c r="J6" s="16"/>
      <c r="K6" s="16"/>
      <c r="L6" s="16"/>
      <c r="M6" s="16"/>
      <c r="N6" s="16"/>
      <c r="O6" s="70" t="s">
        <v>60</v>
      </c>
      <c r="P6" s="68"/>
      <c r="R6" s="16"/>
      <c r="S6" s="16"/>
      <c r="T6" s="16"/>
      <c r="U6" s="16"/>
      <c r="V6" s="16"/>
      <c r="W6" s="16"/>
      <c r="X6" s="16"/>
      <c r="Y6" s="16"/>
      <c r="Z6" s="16"/>
      <c r="AA6" s="16"/>
      <c r="AB6" s="15"/>
      <c r="AC6" s="15"/>
      <c r="AD6" s="15"/>
      <c r="AE6" s="15"/>
      <c r="AF6" s="15"/>
      <c r="AG6" s="17"/>
      <c r="AH6" s="15"/>
    </row>
    <row r="7" spans="1:35" ht="13.5" thickBot="1" x14ac:dyDescent="0.25">
      <c r="A7" s="14"/>
      <c r="B7" s="18"/>
      <c r="C7" s="84" t="s">
        <v>42</v>
      </c>
      <c r="D7" s="79"/>
      <c r="E7" s="85"/>
      <c r="F7" s="83" t="s">
        <v>37</v>
      </c>
      <c r="G7" s="86"/>
      <c r="H7" s="86"/>
      <c r="I7" s="74" t="s">
        <v>39</v>
      </c>
      <c r="J7" s="87"/>
      <c r="K7" s="87"/>
      <c r="L7" s="81" t="s">
        <v>43</v>
      </c>
      <c r="M7" s="82"/>
      <c r="N7" s="82"/>
      <c r="O7" s="74" t="s">
        <v>52</v>
      </c>
      <c r="P7" s="87"/>
      <c r="Q7" s="88"/>
      <c r="R7" s="83"/>
      <c r="S7" s="76"/>
      <c r="T7" s="74"/>
      <c r="U7" s="75"/>
      <c r="V7" s="76" t="s">
        <v>38</v>
      </c>
      <c r="W7" s="76"/>
      <c r="X7" s="77"/>
      <c r="Y7" s="78" t="s">
        <v>44</v>
      </c>
      <c r="Z7" s="79"/>
      <c r="AA7" s="80"/>
      <c r="AB7" s="81" t="s">
        <v>16</v>
      </c>
      <c r="AC7" s="82"/>
      <c r="AD7" s="77"/>
      <c r="AE7" s="78" t="s">
        <v>17</v>
      </c>
      <c r="AF7" s="79"/>
      <c r="AG7" s="80"/>
      <c r="AH7" s="75"/>
      <c r="AI7" s="14"/>
    </row>
    <row r="8" spans="1:35" ht="13.5" thickBot="1" x14ac:dyDescent="0.25">
      <c r="A8" s="14"/>
      <c r="B8" s="14"/>
      <c r="C8" s="24" t="s">
        <v>58</v>
      </c>
      <c r="D8" s="24" t="s">
        <v>55</v>
      </c>
      <c r="E8" s="65" t="s">
        <v>54</v>
      </c>
      <c r="F8" s="24" t="s">
        <v>58</v>
      </c>
      <c r="G8" s="24" t="s">
        <v>55</v>
      </c>
      <c r="H8" s="65" t="s">
        <v>54</v>
      </c>
      <c r="I8" s="24" t="s">
        <v>58</v>
      </c>
      <c r="J8" s="24" t="s">
        <v>55</v>
      </c>
      <c r="K8" s="65" t="s">
        <v>54</v>
      </c>
      <c r="L8" s="24" t="s">
        <v>58</v>
      </c>
      <c r="M8" s="24" t="s">
        <v>55</v>
      </c>
      <c r="N8" s="65" t="s">
        <v>54</v>
      </c>
      <c r="O8" s="24" t="s">
        <v>58</v>
      </c>
      <c r="P8" s="24" t="s">
        <v>55</v>
      </c>
      <c r="Q8" s="65" t="s">
        <v>54</v>
      </c>
      <c r="R8" s="24" t="s">
        <v>51</v>
      </c>
      <c r="S8" s="24"/>
      <c r="T8" s="24" t="s">
        <v>51</v>
      </c>
      <c r="U8" s="65"/>
      <c r="V8" s="24" t="s">
        <v>58</v>
      </c>
      <c r="W8" s="24" t="s">
        <v>55</v>
      </c>
      <c r="X8" s="65" t="s">
        <v>54</v>
      </c>
      <c r="Y8" s="24" t="s">
        <v>58</v>
      </c>
      <c r="Z8" s="24" t="s">
        <v>55</v>
      </c>
      <c r="AA8" s="65" t="s">
        <v>54</v>
      </c>
      <c r="AB8" s="24" t="s">
        <v>58</v>
      </c>
      <c r="AC8" s="24" t="s">
        <v>55</v>
      </c>
      <c r="AD8" s="65" t="s">
        <v>54</v>
      </c>
      <c r="AE8" s="24" t="s">
        <v>58</v>
      </c>
      <c r="AF8" s="24" t="s">
        <v>55</v>
      </c>
      <c r="AG8" s="65" t="s">
        <v>54</v>
      </c>
      <c r="AH8" s="59" t="s">
        <v>50</v>
      </c>
    </row>
    <row r="9" spans="1:35" x14ac:dyDescent="0.2">
      <c r="A9" s="14"/>
      <c r="B9" s="14"/>
      <c r="C9" s="60"/>
      <c r="D9" s="60"/>
      <c r="E9" s="60"/>
      <c r="F9" s="22"/>
      <c r="G9" s="22"/>
      <c r="H9" s="9"/>
      <c r="I9" s="32"/>
      <c r="J9" s="32"/>
      <c r="K9" s="32"/>
      <c r="L9" s="32"/>
      <c r="M9" s="32"/>
      <c r="N9" s="32"/>
      <c r="O9" s="32"/>
      <c r="P9" s="32"/>
      <c r="Q9" s="11"/>
      <c r="R9" s="35"/>
      <c r="S9" s="25"/>
      <c r="T9" s="11"/>
      <c r="U9" s="11"/>
      <c r="V9" s="11"/>
      <c r="W9" s="11"/>
      <c r="X9" s="35"/>
      <c r="Y9" s="11"/>
      <c r="Z9" s="11"/>
      <c r="AA9" s="11"/>
      <c r="AB9" s="48"/>
      <c r="AC9" s="48"/>
      <c r="AD9" s="27"/>
      <c r="AE9" s="27"/>
      <c r="AF9" s="27"/>
      <c r="AG9" s="9"/>
      <c r="AH9" s="22"/>
    </row>
    <row r="10" spans="1:35" x14ac:dyDescent="0.2">
      <c r="A10" s="18" t="s">
        <v>0</v>
      </c>
      <c r="B10" s="14"/>
      <c r="C10" s="60"/>
      <c r="D10" s="60"/>
      <c r="E10" s="60"/>
      <c r="F10" s="22"/>
      <c r="G10" s="22"/>
      <c r="H10" s="9"/>
      <c r="I10" s="32"/>
      <c r="J10" s="32"/>
      <c r="K10" s="32"/>
      <c r="L10" s="32"/>
      <c r="M10" s="32"/>
      <c r="N10" s="32"/>
      <c r="O10" s="32"/>
      <c r="P10" s="32"/>
      <c r="Q10" s="11"/>
      <c r="R10" s="11"/>
      <c r="S10" s="25"/>
      <c r="T10" s="11"/>
      <c r="U10" s="11"/>
      <c r="V10" s="11"/>
      <c r="W10" s="11"/>
      <c r="X10" s="11"/>
      <c r="Y10" s="11"/>
      <c r="Z10" s="11"/>
      <c r="AA10" s="11"/>
      <c r="AB10" s="48"/>
      <c r="AC10" s="48"/>
      <c r="AD10" s="27"/>
      <c r="AE10" s="27"/>
      <c r="AF10" s="27"/>
      <c r="AG10" s="9"/>
      <c r="AH10" s="22"/>
    </row>
    <row r="11" spans="1:35" x14ac:dyDescent="0.2">
      <c r="A11" s="57">
        <v>3003</v>
      </c>
      <c r="B11" s="14" t="s">
        <v>25</v>
      </c>
      <c r="C11" s="63">
        <v>18000</v>
      </c>
      <c r="D11" s="9">
        <v>20000</v>
      </c>
      <c r="E11" s="9">
        <v>19370</v>
      </c>
      <c r="F11" s="42"/>
      <c r="G11" s="22"/>
      <c r="H11" s="9"/>
      <c r="I11" s="54"/>
      <c r="J11" s="32"/>
      <c r="K11" s="32"/>
      <c r="L11" s="54"/>
      <c r="M11" s="32"/>
      <c r="N11" s="32"/>
      <c r="O11" s="33"/>
      <c r="P11" s="32"/>
      <c r="Q11" s="11"/>
      <c r="R11" s="39"/>
      <c r="S11" s="11"/>
      <c r="T11" s="61"/>
      <c r="U11" s="11"/>
      <c r="V11" s="6">
        <f t="shared" ref="V11:V17" si="0">C11+F11+I11+L11+O11+R11+T11</f>
        <v>18000</v>
      </c>
      <c r="W11" s="11">
        <f>D11+G11+J11+M11+P11</f>
        <v>20000</v>
      </c>
      <c r="X11" s="11">
        <f>E11+H11+K11+N11+Q11</f>
        <v>19370</v>
      </c>
      <c r="Y11" s="6">
        <v>42000</v>
      </c>
      <c r="Z11" s="11">
        <v>40000</v>
      </c>
      <c r="AA11" s="11">
        <v>39554</v>
      </c>
      <c r="AB11" s="42"/>
      <c r="AC11" s="22"/>
      <c r="AD11" s="9"/>
      <c r="AE11" s="4">
        <f t="shared" ref="AE11:AG16" si="1">V11+Y11+AB11</f>
        <v>60000</v>
      </c>
      <c r="AF11" s="9">
        <f>W11+Z11+AC11</f>
        <v>60000</v>
      </c>
      <c r="AG11" s="9">
        <f>X11+AA11+AD11</f>
        <v>58924</v>
      </c>
      <c r="AH11" s="22"/>
    </row>
    <row r="12" spans="1:35" x14ac:dyDescent="0.2">
      <c r="A12" s="57">
        <v>3014</v>
      </c>
      <c r="B12" s="14" t="s">
        <v>26</v>
      </c>
      <c r="C12" s="63">
        <v>25000</v>
      </c>
      <c r="D12" s="9">
        <v>27000</v>
      </c>
      <c r="E12" s="9">
        <v>18551.5</v>
      </c>
      <c r="F12" s="42"/>
      <c r="G12" s="22"/>
      <c r="H12" s="9"/>
      <c r="I12" s="54">
        <v>11000</v>
      </c>
      <c r="J12" s="32">
        <v>11000</v>
      </c>
      <c r="K12" s="32">
        <v>11464.72</v>
      </c>
      <c r="L12" s="54"/>
      <c r="M12" s="32"/>
      <c r="N12" s="32"/>
      <c r="O12" s="33"/>
      <c r="P12" s="32"/>
      <c r="Q12" s="11"/>
      <c r="R12" s="39"/>
      <c r="S12" s="11"/>
      <c r="T12" s="61"/>
      <c r="U12" s="11"/>
      <c r="V12" s="6">
        <f t="shared" si="0"/>
        <v>36000</v>
      </c>
      <c r="W12" s="11">
        <f>D12+G12+J12+M12+P12</f>
        <v>38000</v>
      </c>
      <c r="X12" s="11">
        <f t="shared" ref="X12:X16" si="2">E12+H12+K12+N12+Q12</f>
        <v>30016.22</v>
      </c>
      <c r="Y12" s="6"/>
      <c r="Z12" s="11">
        <v>4000</v>
      </c>
      <c r="AA12" s="11"/>
      <c r="AB12" s="42"/>
      <c r="AC12" s="22"/>
      <c r="AD12" s="9"/>
      <c r="AE12" s="4">
        <f t="shared" si="1"/>
        <v>36000</v>
      </c>
      <c r="AF12" s="9">
        <f t="shared" si="1"/>
        <v>42000</v>
      </c>
      <c r="AG12" s="9">
        <f t="shared" si="1"/>
        <v>30016.22</v>
      </c>
      <c r="AH12" s="22"/>
    </row>
    <row r="13" spans="1:35" x14ac:dyDescent="0.2">
      <c r="A13" s="57">
        <v>3044</v>
      </c>
      <c r="B13" s="31" t="s">
        <v>41</v>
      </c>
      <c r="C13" s="4">
        <v>3000</v>
      </c>
      <c r="D13" s="9">
        <v>5000</v>
      </c>
      <c r="E13" s="9">
        <v>7059.9</v>
      </c>
      <c r="F13" s="42"/>
      <c r="G13" s="22"/>
      <c r="H13" s="36"/>
      <c r="I13" s="54"/>
      <c r="J13" s="32"/>
      <c r="K13" s="32"/>
      <c r="L13" s="54">
        <v>5000</v>
      </c>
      <c r="M13" s="32">
        <v>4000</v>
      </c>
      <c r="N13" s="32">
        <v>5000</v>
      </c>
      <c r="O13" s="33"/>
      <c r="P13" s="32"/>
      <c r="Q13" s="11"/>
      <c r="R13" s="39"/>
      <c r="S13" s="11"/>
      <c r="T13" s="61"/>
      <c r="U13" s="11"/>
      <c r="V13" s="6">
        <f t="shared" si="0"/>
        <v>8000</v>
      </c>
      <c r="W13" s="11">
        <f>D13+G13+J13+M13+P13</f>
        <v>9000</v>
      </c>
      <c r="X13" s="11">
        <f t="shared" si="2"/>
        <v>12059.9</v>
      </c>
      <c r="Y13" s="6">
        <v>15000</v>
      </c>
      <c r="Z13" s="11">
        <v>20000</v>
      </c>
      <c r="AA13" s="11">
        <v>16312.6</v>
      </c>
      <c r="AB13" s="56">
        <v>16000</v>
      </c>
      <c r="AC13" s="22">
        <v>16000</v>
      </c>
      <c r="AD13" s="9">
        <v>8741</v>
      </c>
      <c r="AE13" s="4">
        <f t="shared" si="1"/>
        <v>39000</v>
      </c>
      <c r="AF13" s="9">
        <f t="shared" si="1"/>
        <v>45000</v>
      </c>
      <c r="AG13" s="9">
        <f t="shared" si="1"/>
        <v>37113.5</v>
      </c>
      <c r="AH13" s="22"/>
    </row>
    <row r="14" spans="1:35" x14ac:dyDescent="0.2">
      <c r="A14" s="57">
        <v>3054</v>
      </c>
      <c r="B14" s="31" t="s">
        <v>40</v>
      </c>
      <c r="C14" s="4"/>
      <c r="D14" s="9"/>
      <c r="E14" s="9">
        <v>50</v>
      </c>
      <c r="F14" s="42"/>
      <c r="G14" s="22"/>
      <c r="H14" s="9"/>
      <c r="I14" s="54"/>
      <c r="J14" s="32"/>
      <c r="K14" s="32"/>
      <c r="L14" s="54"/>
      <c r="M14" s="32"/>
      <c r="N14" s="32"/>
      <c r="O14" s="33"/>
      <c r="P14" s="32"/>
      <c r="Q14" s="11"/>
      <c r="R14" s="39"/>
      <c r="S14" s="11"/>
      <c r="T14" s="61"/>
      <c r="U14" s="11"/>
      <c r="V14" s="6">
        <f t="shared" si="0"/>
        <v>0</v>
      </c>
      <c r="W14" s="11">
        <f>D14+G14+J14+M14+P14</f>
        <v>0</v>
      </c>
      <c r="X14" s="11">
        <f t="shared" si="2"/>
        <v>50</v>
      </c>
      <c r="Y14" s="6"/>
      <c r="Z14" s="11"/>
      <c r="AA14" s="11"/>
      <c r="AB14" s="42"/>
      <c r="AC14" s="22"/>
      <c r="AD14" s="9">
        <v>280</v>
      </c>
      <c r="AE14" s="4">
        <f t="shared" si="1"/>
        <v>0</v>
      </c>
      <c r="AF14" s="9">
        <f>W14+Z14+AC14</f>
        <v>0</v>
      </c>
      <c r="AG14" s="9">
        <f t="shared" si="1"/>
        <v>330</v>
      </c>
      <c r="AH14" s="22"/>
    </row>
    <row r="15" spans="1:35" x14ac:dyDescent="0.2">
      <c r="A15" s="57">
        <v>3024</v>
      </c>
      <c r="B15" s="14" t="s">
        <v>34</v>
      </c>
      <c r="C15" s="29"/>
      <c r="D15" s="37"/>
      <c r="E15" s="9"/>
      <c r="F15" s="42"/>
      <c r="G15" s="22"/>
      <c r="H15" s="9"/>
      <c r="I15" s="54"/>
      <c r="J15" s="32"/>
      <c r="K15" s="32"/>
      <c r="L15" s="54"/>
      <c r="M15" s="32"/>
      <c r="N15" s="32"/>
      <c r="O15" s="33">
        <v>63000</v>
      </c>
      <c r="P15" s="32">
        <v>50000</v>
      </c>
      <c r="Q15" s="32">
        <f>9348.13+39396.47</f>
        <v>48744.6</v>
      </c>
      <c r="R15" s="39"/>
      <c r="S15" s="11"/>
      <c r="T15" s="61"/>
      <c r="U15" s="11"/>
      <c r="V15" s="6">
        <f t="shared" si="0"/>
        <v>63000</v>
      </c>
      <c r="W15" s="11">
        <f>D15+G15+J15+M15+P15</f>
        <v>50000</v>
      </c>
      <c r="X15" s="11">
        <f t="shared" si="2"/>
        <v>48744.6</v>
      </c>
      <c r="Y15" s="6"/>
      <c r="Z15" s="11"/>
      <c r="AA15" s="11"/>
      <c r="AB15" s="42"/>
      <c r="AC15" s="22"/>
      <c r="AD15" s="9"/>
      <c r="AE15" s="4">
        <f t="shared" si="1"/>
        <v>63000</v>
      </c>
      <c r="AF15" s="9">
        <f t="shared" si="1"/>
        <v>50000</v>
      </c>
      <c r="AG15" s="9">
        <f>X15+AA15+AD15</f>
        <v>48744.6</v>
      </c>
      <c r="AH15" s="22"/>
    </row>
    <row r="16" spans="1:35" x14ac:dyDescent="0.2">
      <c r="A16" s="57">
        <v>3025</v>
      </c>
      <c r="B16" s="14" t="s">
        <v>36</v>
      </c>
      <c r="C16" s="5"/>
      <c r="D16" s="10"/>
      <c r="E16" s="10"/>
      <c r="F16" s="43">
        <v>11000</v>
      </c>
      <c r="G16" s="26">
        <v>10000</v>
      </c>
      <c r="H16" s="10">
        <v>10662.35</v>
      </c>
      <c r="I16" s="55"/>
      <c r="J16" s="47"/>
      <c r="K16" s="47"/>
      <c r="L16" s="55"/>
      <c r="M16" s="47"/>
      <c r="N16" s="47"/>
      <c r="O16" s="34">
        <v>98550</v>
      </c>
      <c r="P16" s="47">
        <v>203000</v>
      </c>
      <c r="Q16" s="47">
        <f>1336+27075.75+10511.8+61690.47+13784.39</f>
        <v>114398.41</v>
      </c>
      <c r="R16" s="40"/>
      <c r="S16" s="12"/>
      <c r="T16" s="62"/>
      <c r="U16" s="12"/>
      <c r="V16" s="8">
        <f t="shared" si="0"/>
        <v>109550</v>
      </c>
      <c r="W16" s="11">
        <f>D16+G16+J16+M16+P16</f>
        <v>213000</v>
      </c>
      <c r="X16" s="12">
        <f t="shared" si="2"/>
        <v>125060.76000000001</v>
      </c>
      <c r="Y16" s="8"/>
      <c r="Z16" s="12"/>
      <c r="AA16" s="12"/>
      <c r="AB16" s="43"/>
      <c r="AC16" s="26"/>
      <c r="AD16" s="10"/>
      <c r="AE16" s="5">
        <f t="shared" si="1"/>
        <v>109550</v>
      </c>
      <c r="AF16" s="10">
        <f t="shared" si="1"/>
        <v>213000</v>
      </c>
      <c r="AG16" s="10">
        <f t="shared" si="1"/>
        <v>125060.76000000001</v>
      </c>
      <c r="AH16" s="26"/>
    </row>
    <row r="17" spans="1:37" x14ac:dyDescent="0.2">
      <c r="A17" s="14" t="s">
        <v>1</v>
      </c>
      <c r="B17" s="14"/>
      <c r="C17" s="4">
        <f t="shared" ref="C17:R17" si="3">SUM(C11:C16)</f>
        <v>46000</v>
      </c>
      <c r="D17" s="9">
        <f t="shared" ref="D17" si="4">SUM(D11:D16)</f>
        <v>52000</v>
      </c>
      <c r="E17" s="9">
        <f t="shared" si="3"/>
        <v>45031.4</v>
      </c>
      <c r="F17" s="4">
        <f t="shared" si="3"/>
        <v>11000</v>
      </c>
      <c r="G17" s="9">
        <f t="shared" ref="G17" si="5">SUM(G11:G16)</f>
        <v>10000</v>
      </c>
      <c r="H17" s="9">
        <f t="shared" si="3"/>
        <v>10662.35</v>
      </c>
      <c r="I17" s="4">
        <f t="shared" si="3"/>
        <v>11000</v>
      </c>
      <c r="J17" s="9">
        <f t="shared" ref="J17" si="6">SUM(J11:J16)</f>
        <v>11000</v>
      </c>
      <c r="K17" s="9">
        <f t="shared" si="3"/>
        <v>11464.72</v>
      </c>
      <c r="L17" s="4">
        <f t="shared" si="3"/>
        <v>5000</v>
      </c>
      <c r="M17" s="9">
        <f t="shared" ref="M17" si="7">SUM(M11:M16)</f>
        <v>4000</v>
      </c>
      <c r="N17" s="9">
        <f t="shared" si="3"/>
        <v>5000</v>
      </c>
      <c r="O17" s="4">
        <f t="shared" si="3"/>
        <v>161550</v>
      </c>
      <c r="P17" s="9">
        <f t="shared" ref="P17" si="8">SUM(P11:P16)</f>
        <v>253000</v>
      </c>
      <c r="Q17" s="9">
        <f t="shared" si="3"/>
        <v>163143.01</v>
      </c>
      <c r="R17" s="4">
        <f t="shared" si="3"/>
        <v>0</v>
      </c>
      <c r="S17" s="9"/>
      <c r="T17" s="4">
        <f>SUM(T11:T16)</f>
        <v>0</v>
      </c>
      <c r="U17" s="9"/>
      <c r="V17" s="6">
        <f t="shared" si="0"/>
        <v>234550</v>
      </c>
      <c r="W17" s="9">
        <f t="shared" ref="W17:AD17" si="9">SUM(W11:W16)</f>
        <v>330000</v>
      </c>
      <c r="X17" s="9">
        <f t="shared" si="9"/>
        <v>235301.48</v>
      </c>
      <c r="Y17" s="4">
        <f t="shared" si="9"/>
        <v>57000</v>
      </c>
      <c r="Z17" s="9">
        <f t="shared" ref="Z17" si="10">SUM(Z11:Z16)</f>
        <v>64000</v>
      </c>
      <c r="AA17" s="9">
        <f t="shared" si="9"/>
        <v>55866.6</v>
      </c>
      <c r="AB17" s="4">
        <f t="shared" si="9"/>
        <v>16000</v>
      </c>
      <c r="AC17" s="9">
        <f t="shared" ref="AC17" si="11">SUM(AC11:AC16)</f>
        <v>16000</v>
      </c>
      <c r="AD17" s="9">
        <f t="shared" si="9"/>
        <v>9021</v>
      </c>
      <c r="AE17" s="4">
        <f>V17+Y17+AB17</f>
        <v>307550</v>
      </c>
      <c r="AF17" s="9">
        <f>SUM(AF11:AF16)</f>
        <v>410000</v>
      </c>
      <c r="AG17" s="9">
        <f>SUM(AG11:AG16)</f>
        <v>300189.08</v>
      </c>
      <c r="AH17" s="22">
        <f>SUM(AH11:AH16)</f>
        <v>0</v>
      </c>
    </row>
    <row r="18" spans="1:37" x14ac:dyDescent="0.2">
      <c r="A18" s="14"/>
      <c r="B18" s="14"/>
      <c r="C18" s="29"/>
      <c r="D18" s="37"/>
      <c r="E18" s="9"/>
      <c r="F18" s="42"/>
      <c r="G18" s="22"/>
      <c r="H18" s="9"/>
      <c r="I18" s="54"/>
      <c r="J18" s="32"/>
      <c r="K18" s="32"/>
      <c r="L18" s="54"/>
      <c r="M18" s="32"/>
      <c r="N18" s="32"/>
      <c r="O18" s="33"/>
      <c r="P18" s="32"/>
      <c r="Q18" s="11"/>
      <c r="R18" s="39"/>
      <c r="S18" s="11"/>
      <c r="T18" s="61"/>
      <c r="U18" s="11"/>
      <c r="V18" s="6"/>
      <c r="W18" s="11"/>
      <c r="X18" s="11"/>
      <c r="Y18" s="6"/>
      <c r="Z18" s="11"/>
      <c r="AA18" s="11"/>
      <c r="AB18" s="42"/>
      <c r="AC18" s="22"/>
      <c r="AD18" s="9"/>
      <c r="AE18" s="4"/>
      <c r="AF18" s="9"/>
      <c r="AG18" s="9"/>
      <c r="AH18" s="22"/>
    </row>
    <row r="19" spans="1:37" s="28" customFormat="1" x14ac:dyDescent="0.2">
      <c r="A19" s="31"/>
      <c r="B19" s="31" t="s">
        <v>2</v>
      </c>
      <c r="C19" s="4"/>
      <c r="D19" s="9">
        <v>-102500</v>
      </c>
      <c r="E19" s="9">
        <f>-92076.82+-22790.21</f>
        <v>-114867.03</v>
      </c>
      <c r="F19" s="42">
        <v>-3500</v>
      </c>
      <c r="G19" s="22">
        <v>-4000</v>
      </c>
      <c r="H19" s="9">
        <f>-2965+-633.51</f>
        <v>-3598.51</v>
      </c>
      <c r="I19" s="54">
        <v>-13500</v>
      </c>
      <c r="J19" s="32">
        <v>-11000</v>
      </c>
      <c r="K19" s="32">
        <f>-9289.28+-2035.03</f>
        <v>-11324.310000000001</v>
      </c>
      <c r="L19" s="54">
        <v>-3500</v>
      </c>
      <c r="M19" s="32">
        <v>-5200</v>
      </c>
      <c r="N19" s="32">
        <f>-8051.13+-1744.4</f>
        <v>-9795.5300000000007</v>
      </c>
      <c r="O19" s="33">
        <v>-118000</v>
      </c>
      <c r="P19" s="32">
        <f>-113836+-16150</f>
        <v>-129986</v>
      </c>
      <c r="Q19" s="32">
        <f>-9291.7+-2012.95+-31552+-6871.85+-1367.08+-301.39+-7821.88+-1755.12+-7919.29+-1692.04+-27712.11+-6202.14+-10121.71+-2162.6</f>
        <v>-116783.85999999999</v>
      </c>
      <c r="R19" s="58"/>
      <c r="S19" s="11"/>
      <c r="T19" s="61"/>
      <c r="U19" s="11"/>
      <c r="V19" s="6">
        <f>C19+F19+I19+L19+O19+R19+T19</f>
        <v>-138500</v>
      </c>
      <c r="W19" s="11">
        <f>D19+G19+J19+M19+P19</f>
        <v>-252686</v>
      </c>
      <c r="X19" s="11">
        <f>AA19+H19+K19+N19+Q19</f>
        <v>-197026.71</v>
      </c>
      <c r="Y19" s="6"/>
      <c r="Z19" s="11">
        <v>-68500</v>
      </c>
      <c r="AA19" s="9">
        <f>-46509.96+-9014.54</f>
        <v>-55524.5</v>
      </c>
      <c r="AB19" s="42">
        <f>-224000+6000</f>
        <v>-218000</v>
      </c>
      <c r="AC19" s="22">
        <f>-57000+16150</f>
        <v>-40850</v>
      </c>
      <c r="AD19" s="11">
        <f>-30963.63+-6009.25</f>
        <v>-36972.880000000005</v>
      </c>
      <c r="AE19" s="4">
        <f>V19+Y19+AB19</f>
        <v>-356500</v>
      </c>
      <c r="AF19" s="9">
        <f>W19+Z19+AC19</f>
        <v>-362036</v>
      </c>
      <c r="AG19" s="9">
        <f>X19+AD19+E19</f>
        <v>-348866.62</v>
      </c>
      <c r="AH19" s="22"/>
    </row>
    <row r="20" spans="1:37" x14ac:dyDescent="0.2">
      <c r="A20" s="14"/>
      <c r="B20" s="14" t="s">
        <v>3</v>
      </c>
      <c r="C20" s="29"/>
      <c r="D20" s="37"/>
      <c r="E20" s="9"/>
      <c r="F20" s="44"/>
      <c r="G20" s="64"/>
      <c r="H20" s="37"/>
      <c r="I20" s="54"/>
      <c r="J20" s="32"/>
      <c r="K20" s="32"/>
      <c r="L20" s="54"/>
      <c r="M20" s="32"/>
      <c r="N20" s="32"/>
      <c r="O20" s="45"/>
      <c r="P20" s="69"/>
      <c r="Q20" s="38"/>
      <c r="R20" s="39"/>
      <c r="S20" s="11"/>
      <c r="T20" s="61"/>
      <c r="U20" s="11"/>
      <c r="V20" s="6"/>
      <c r="W20" s="11"/>
      <c r="X20" s="11"/>
      <c r="Y20" s="30"/>
      <c r="Z20" s="38"/>
      <c r="AA20" s="38"/>
      <c r="AB20" s="44"/>
      <c r="AC20" s="64"/>
      <c r="AE20" s="4"/>
      <c r="AF20" s="9"/>
      <c r="AG20" s="9"/>
      <c r="AH20" s="22"/>
    </row>
    <row r="21" spans="1:37" s="28" customFormat="1" x14ac:dyDescent="0.2">
      <c r="A21" s="31"/>
      <c r="B21" s="31" t="s">
        <v>4</v>
      </c>
      <c r="C21" s="4"/>
      <c r="D21" s="9"/>
      <c r="E21" s="9"/>
      <c r="F21" s="42"/>
      <c r="G21" s="22"/>
      <c r="H21" s="9"/>
      <c r="I21" s="54"/>
      <c r="J21" s="32"/>
      <c r="K21" s="32"/>
      <c r="L21" s="54"/>
      <c r="M21" s="32"/>
      <c r="N21" s="32"/>
      <c r="O21" s="33"/>
      <c r="P21" s="32"/>
      <c r="Q21" s="11"/>
      <c r="R21" s="39"/>
      <c r="S21" s="11"/>
      <c r="T21" s="61"/>
      <c r="U21" s="11"/>
      <c r="V21" s="6">
        <f t="shared" ref="V21:V39" si="12">C21+F21+I21+L21+O21+R21+T21</f>
        <v>0</v>
      </c>
      <c r="W21" s="11">
        <f t="shared" ref="W21:X38" si="13">D21+G21+J21+M21+P21</f>
        <v>0</v>
      </c>
      <c r="X21" s="11">
        <f t="shared" si="13"/>
        <v>0</v>
      </c>
      <c r="Y21" s="6"/>
      <c r="Z21" s="11"/>
      <c r="AA21" s="11"/>
      <c r="AB21" s="56">
        <v>-1000</v>
      </c>
      <c r="AC21" s="22">
        <v>-1000</v>
      </c>
      <c r="AD21" s="9">
        <v>-961.06</v>
      </c>
      <c r="AE21" s="4">
        <f t="shared" ref="AE21:AG38" si="14">V21+Y21+AB21</f>
        <v>-1000</v>
      </c>
      <c r="AF21" s="9">
        <f t="shared" si="14"/>
        <v>-1000</v>
      </c>
      <c r="AG21" s="9">
        <f t="shared" si="14"/>
        <v>-961.06</v>
      </c>
      <c r="AH21" s="22"/>
    </row>
    <row r="22" spans="1:37" x14ac:dyDescent="0.2">
      <c r="A22" s="14"/>
      <c r="B22" s="31" t="s">
        <v>46</v>
      </c>
      <c r="C22" s="29"/>
      <c r="D22" s="37"/>
      <c r="E22" s="9"/>
      <c r="F22" s="44"/>
      <c r="G22" s="64"/>
      <c r="H22" s="37"/>
      <c r="I22" s="54"/>
      <c r="J22" s="32"/>
      <c r="K22" s="32"/>
      <c r="L22" s="54"/>
      <c r="M22" s="32"/>
      <c r="N22" s="32"/>
      <c r="O22" s="45"/>
      <c r="P22" s="69"/>
      <c r="Q22" s="38"/>
      <c r="R22" s="39"/>
      <c r="S22" s="11"/>
      <c r="T22" s="61"/>
      <c r="U22" s="11"/>
      <c r="V22" s="6">
        <f t="shared" si="12"/>
        <v>0</v>
      </c>
      <c r="W22" s="11">
        <f t="shared" si="13"/>
        <v>0</v>
      </c>
      <c r="X22" s="11">
        <f>E22+H22+K22+N22+Q22</f>
        <v>0</v>
      </c>
      <c r="Y22" s="30"/>
      <c r="Z22" s="38"/>
      <c r="AA22" s="38"/>
      <c r="AB22" s="56">
        <v>-26000</v>
      </c>
      <c r="AC22" s="22">
        <v>-24500</v>
      </c>
      <c r="AD22" s="9">
        <v>-24872.89</v>
      </c>
      <c r="AE22" s="4">
        <f t="shared" si="14"/>
        <v>-26000</v>
      </c>
      <c r="AF22" s="9">
        <f t="shared" si="14"/>
        <v>-24500</v>
      </c>
      <c r="AG22" s="9">
        <f t="shared" si="14"/>
        <v>-24872.89</v>
      </c>
      <c r="AH22" s="22"/>
      <c r="AK22" s="28"/>
    </row>
    <row r="23" spans="1:37" x14ac:dyDescent="0.2">
      <c r="A23" s="14"/>
      <c r="B23" s="31" t="s">
        <v>47</v>
      </c>
      <c r="C23" s="29"/>
      <c r="D23" s="37"/>
      <c r="E23" s="9"/>
      <c r="F23" s="44"/>
      <c r="G23" s="64"/>
      <c r="H23" s="37"/>
      <c r="I23" s="54"/>
      <c r="J23" s="32"/>
      <c r="K23" s="32"/>
      <c r="L23" s="54"/>
      <c r="M23" s="32"/>
      <c r="N23" s="32"/>
      <c r="O23" s="33"/>
      <c r="P23" s="32"/>
      <c r="Q23" s="11">
        <f>-89.93</f>
        <v>-89.93</v>
      </c>
      <c r="R23" s="39"/>
      <c r="S23" s="11"/>
      <c r="T23" s="61"/>
      <c r="U23" s="11"/>
      <c r="V23" s="6">
        <f t="shared" si="12"/>
        <v>0</v>
      </c>
      <c r="W23" s="11">
        <f t="shared" si="13"/>
        <v>0</v>
      </c>
      <c r="X23" s="11">
        <f t="shared" si="13"/>
        <v>-89.93</v>
      </c>
      <c r="Y23" s="30"/>
      <c r="Z23" s="38"/>
      <c r="AA23" s="11"/>
      <c r="AB23" s="56">
        <v>-5000</v>
      </c>
      <c r="AC23" s="22">
        <v>-4500</v>
      </c>
      <c r="AD23" s="9">
        <f>-8058.72</f>
        <v>-8058.72</v>
      </c>
      <c r="AE23" s="4">
        <f t="shared" si="14"/>
        <v>-5000</v>
      </c>
      <c r="AF23" s="9">
        <f>W23+Z23+AC23</f>
        <v>-4500</v>
      </c>
      <c r="AG23" s="9">
        <f t="shared" si="14"/>
        <v>-8148.6500000000005</v>
      </c>
      <c r="AH23" s="22"/>
      <c r="AK23" s="28"/>
    </row>
    <row r="24" spans="1:37" x14ac:dyDescent="0.2">
      <c r="A24" s="14"/>
      <c r="B24" s="14" t="s">
        <v>28</v>
      </c>
      <c r="C24" s="4">
        <v>-16000</v>
      </c>
      <c r="D24" s="9"/>
      <c r="E24" s="9"/>
      <c r="F24" s="42">
        <v>-3000</v>
      </c>
      <c r="G24" s="22"/>
      <c r="H24" s="9"/>
      <c r="I24" s="54"/>
      <c r="J24" s="32"/>
      <c r="K24" s="32"/>
      <c r="L24" s="54"/>
      <c r="M24" s="32"/>
      <c r="N24" s="32"/>
      <c r="O24" s="33"/>
      <c r="P24" s="32"/>
      <c r="Q24" s="11">
        <f>-248</f>
        <v>-248</v>
      </c>
      <c r="R24" s="39"/>
      <c r="S24" s="11"/>
      <c r="T24" s="61"/>
      <c r="U24" s="11"/>
      <c r="V24" s="6">
        <f t="shared" si="12"/>
        <v>-19000</v>
      </c>
      <c r="W24" s="11">
        <f t="shared" si="13"/>
        <v>0</v>
      </c>
      <c r="X24" s="11">
        <f t="shared" si="13"/>
        <v>-248</v>
      </c>
      <c r="Y24" s="6"/>
      <c r="Z24" s="11"/>
      <c r="AA24" s="11"/>
      <c r="AB24" s="42">
        <v>-10000</v>
      </c>
      <c r="AC24" s="22">
        <v>-11000</v>
      </c>
      <c r="AD24" s="9">
        <v>-10695.73</v>
      </c>
      <c r="AE24" s="4">
        <f t="shared" si="14"/>
        <v>-29000</v>
      </c>
      <c r="AF24" s="9">
        <f t="shared" si="14"/>
        <v>-11000</v>
      </c>
      <c r="AG24" s="9">
        <f t="shared" si="14"/>
        <v>-10943.73</v>
      </c>
      <c r="AH24" s="22"/>
    </row>
    <row r="25" spans="1:37" x14ac:dyDescent="0.2">
      <c r="A25" s="14"/>
      <c r="B25" s="14" t="s">
        <v>23</v>
      </c>
      <c r="C25" s="63">
        <v>-25000</v>
      </c>
      <c r="D25" s="9">
        <v>-29000</v>
      </c>
      <c r="E25" s="9">
        <f>-10971.89+-13934.75</f>
        <v>-24906.639999999999</v>
      </c>
      <c r="F25" s="42"/>
      <c r="G25" s="22"/>
      <c r="H25" s="9"/>
      <c r="I25" s="54"/>
      <c r="J25" s="32"/>
      <c r="K25" s="32"/>
      <c r="L25" s="54"/>
      <c r="M25" s="32"/>
      <c r="N25" s="32"/>
      <c r="O25" s="33"/>
      <c r="P25" s="32"/>
      <c r="Q25" s="11"/>
      <c r="R25" s="39"/>
      <c r="S25" s="11"/>
      <c r="T25" s="61"/>
      <c r="U25" s="11"/>
      <c r="V25" s="6">
        <f t="shared" si="12"/>
        <v>-25000</v>
      </c>
      <c r="W25" s="11">
        <f t="shared" si="13"/>
        <v>-29000</v>
      </c>
      <c r="X25" s="11">
        <f t="shared" si="13"/>
        <v>-24906.639999999999</v>
      </c>
      <c r="Y25" s="61">
        <v>-55000</v>
      </c>
      <c r="Z25" s="11">
        <v>-57000</v>
      </c>
      <c r="AA25" s="11">
        <f>-40411.49+-13915.71</f>
        <v>-54327.199999999997</v>
      </c>
      <c r="AB25" s="44"/>
      <c r="AC25" s="64"/>
      <c r="AD25" s="37"/>
      <c r="AE25" s="4">
        <f t="shared" si="14"/>
        <v>-80000</v>
      </c>
      <c r="AF25" s="9">
        <f t="shared" si="14"/>
        <v>-86000</v>
      </c>
      <c r="AG25" s="9">
        <f t="shared" si="14"/>
        <v>-79233.84</v>
      </c>
      <c r="AH25" s="22"/>
    </row>
    <row r="26" spans="1:37" x14ac:dyDescent="0.2">
      <c r="A26" s="14"/>
      <c r="B26" s="14" t="s">
        <v>24</v>
      </c>
      <c r="C26" s="63">
        <v>-23000</v>
      </c>
      <c r="D26" s="9">
        <v>-24000</v>
      </c>
      <c r="E26" s="9">
        <v>-21896.3</v>
      </c>
      <c r="F26" s="42"/>
      <c r="G26" s="22"/>
      <c r="H26" s="9"/>
      <c r="I26" s="54"/>
      <c r="J26" s="32">
        <v>-3000</v>
      </c>
      <c r="K26" s="32">
        <v>-5724.72</v>
      </c>
      <c r="L26" s="54"/>
      <c r="M26" s="32"/>
      <c r="N26" s="32"/>
      <c r="O26" s="33"/>
      <c r="P26" s="32"/>
      <c r="Q26" s="11">
        <f>-1200+-6744</f>
        <v>-7944</v>
      </c>
      <c r="R26" s="39"/>
      <c r="S26" s="11"/>
      <c r="T26" s="61"/>
      <c r="U26" s="11"/>
      <c r="V26" s="6">
        <f t="shared" si="12"/>
        <v>-23000</v>
      </c>
      <c r="W26" s="11">
        <f t="shared" si="13"/>
        <v>-27000</v>
      </c>
      <c r="X26" s="11">
        <f t="shared" si="13"/>
        <v>-35565.020000000004</v>
      </c>
      <c r="Y26" s="6"/>
      <c r="Z26" s="11">
        <v>-3000</v>
      </c>
      <c r="AA26" s="11"/>
      <c r="AB26" s="44"/>
      <c r="AC26" s="64"/>
      <c r="AD26" s="9"/>
      <c r="AE26" s="4">
        <f t="shared" si="14"/>
        <v>-23000</v>
      </c>
      <c r="AF26" s="9">
        <f t="shared" si="14"/>
        <v>-30000</v>
      </c>
      <c r="AG26" s="9">
        <f t="shared" si="14"/>
        <v>-35565.020000000004</v>
      </c>
      <c r="AH26" s="22"/>
    </row>
    <row r="27" spans="1:37" x14ac:dyDescent="0.2">
      <c r="A27" s="14"/>
      <c r="B27" s="14" t="s">
        <v>48</v>
      </c>
      <c r="C27" s="63"/>
      <c r="D27" s="9">
        <v>-500</v>
      </c>
      <c r="E27" s="9">
        <v>-330.31</v>
      </c>
      <c r="F27" s="42">
        <v>-1000</v>
      </c>
      <c r="G27" s="22">
        <v>-500</v>
      </c>
      <c r="H27" s="9"/>
      <c r="I27" s="54"/>
      <c r="J27" s="32"/>
      <c r="K27" s="32"/>
      <c r="L27" s="54"/>
      <c r="M27" s="32"/>
      <c r="N27" s="32">
        <v>-259.8</v>
      </c>
      <c r="O27" s="33"/>
      <c r="P27" s="32"/>
      <c r="Q27" s="11"/>
      <c r="R27" s="39"/>
      <c r="S27" s="11"/>
      <c r="T27" s="61"/>
      <c r="U27" s="11"/>
      <c r="V27" s="6">
        <f t="shared" si="12"/>
        <v>-1000</v>
      </c>
      <c r="W27" s="11">
        <f t="shared" si="13"/>
        <v>-1000</v>
      </c>
      <c r="X27" s="11">
        <f t="shared" si="13"/>
        <v>-590.11</v>
      </c>
      <c r="Y27" s="61"/>
      <c r="Z27" s="11">
        <v>-500</v>
      </c>
      <c r="AA27" s="11"/>
      <c r="AB27" s="56">
        <v>-15000</v>
      </c>
      <c r="AC27" s="22">
        <v>-10000</v>
      </c>
      <c r="AD27" s="9"/>
      <c r="AE27" s="4">
        <f t="shared" si="14"/>
        <v>-16000</v>
      </c>
      <c r="AF27" s="9">
        <f t="shared" si="14"/>
        <v>-11500</v>
      </c>
      <c r="AG27" s="9">
        <f t="shared" si="14"/>
        <v>-590.11</v>
      </c>
      <c r="AH27" s="22"/>
    </row>
    <row r="28" spans="1:37" x14ac:dyDescent="0.2">
      <c r="A28" s="14"/>
      <c r="B28" s="14" t="s">
        <v>18</v>
      </c>
      <c r="C28" s="4">
        <v>-3500</v>
      </c>
      <c r="D28" s="9">
        <v>-3500</v>
      </c>
      <c r="E28" s="9">
        <f>-4434.79</f>
        <v>-4434.79</v>
      </c>
      <c r="F28" s="42">
        <v>-1000</v>
      </c>
      <c r="G28" s="22">
        <v>-2000</v>
      </c>
      <c r="H28" s="9">
        <v>-3208.95</v>
      </c>
      <c r="I28" s="54">
        <v>-3000</v>
      </c>
      <c r="J28" s="32">
        <v>-3500</v>
      </c>
      <c r="K28" s="32">
        <v>-2823.46</v>
      </c>
      <c r="L28" s="54">
        <v>-500</v>
      </c>
      <c r="M28" s="32">
        <v>-1000</v>
      </c>
      <c r="N28" s="32">
        <f>-928.43</f>
        <v>-928.43</v>
      </c>
      <c r="O28" s="33"/>
      <c r="P28" s="32"/>
      <c r="Q28" s="11">
        <f>-2175.94+-5399.47+-118.11+-308.8+-1182.02+-13615.38+-1059.95</f>
        <v>-23859.670000000002</v>
      </c>
      <c r="R28" s="39"/>
      <c r="S28" s="11"/>
      <c r="T28" s="61"/>
      <c r="U28" s="11"/>
      <c r="V28" s="6">
        <f t="shared" si="12"/>
        <v>-8000</v>
      </c>
      <c r="W28" s="11">
        <f t="shared" si="13"/>
        <v>-10000</v>
      </c>
      <c r="X28" s="11">
        <f t="shared" si="13"/>
        <v>-35255.300000000003</v>
      </c>
      <c r="Y28" s="6">
        <v>-3500</v>
      </c>
      <c r="Z28" s="11">
        <v>-4000</v>
      </c>
      <c r="AA28" s="11">
        <v>-4544.3500000000004</v>
      </c>
      <c r="AB28" s="42">
        <v>-3000</v>
      </c>
      <c r="AC28" s="22">
        <v>-3000</v>
      </c>
      <c r="AD28" s="9">
        <v>-5051.2299999999996</v>
      </c>
      <c r="AE28" s="4">
        <f t="shared" si="14"/>
        <v>-14500</v>
      </c>
      <c r="AF28" s="9">
        <f t="shared" si="14"/>
        <v>-17000</v>
      </c>
      <c r="AG28" s="9">
        <f t="shared" si="14"/>
        <v>-44850.880000000005</v>
      </c>
      <c r="AH28" s="22"/>
    </row>
    <row r="29" spans="1:37" x14ac:dyDescent="0.2">
      <c r="A29" s="14"/>
      <c r="B29" s="14" t="s">
        <v>30</v>
      </c>
      <c r="C29" s="63">
        <v>-12000</v>
      </c>
      <c r="D29" s="9">
        <v>-10000</v>
      </c>
      <c r="E29" s="9">
        <v>-6684.6</v>
      </c>
      <c r="F29" s="42">
        <v>-1000</v>
      </c>
      <c r="G29" s="22">
        <v>-1000</v>
      </c>
      <c r="H29" s="9">
        <v>-316.98</v>
      </c>
      <c r="I29" s="54"/>
      <c r="J29" s="32"/>
      <c r="K29" s="32"/>
      <c r="L29" s="54"/>
      <c r="M29" s="32"/>
      <c r="N29" s="32">
        <v>-250.48</v>
      </c>
      <c r="O29" s="33"/>
      <c r="P29" s="32"/>
      <c r="Q29" s="11">
        <f>-1252.85+-2200</f>
        <v>-3452.85</v>
      </c>
      <c r="R29" s="39"/>
      <c r="S29" s="11"/>
      <c r="T29" s="61"/>
      <c r="V29" s="6">
        <f t="shared" si="12"/>
        <v>-13000</v>
      </c>
      <c r="W29" s="11">
        <f t="shared" si="13"/>
        <v>-11000</v>
      </c>
      <c r="X29" s="11">
        <f t="shared" si="13"/>
        <v>-10704.91</v>
      </c>
      <c r="Y29" s="61">
        <v>-4000</v>
      </c>
      <c r="Z29" s="11">
        <v>-3000</v>
      </c>
      <c r="AA29" s="11">
        <v>-3569</v>
      </c>
      <c r="AB29" s="44"/>
      <c r="AC29" s="64"/>
      <c r="AD29" s="37"/>
      <c r="AE29" s="4">
        <f t="shared" si="14"/>
        <v>-17000</v>
      </c>
      <c r="AF29" s="9">
        <f t="shared" si="14"/>
        <v>-14000</v>
      </c>
      <c r="AG29" s="9">
        <f t="shared" si="14"/>
        <v>-14273.91</v>
      </c>
      <c r="AH29" s="22"/>
    </row>
    <row r="30" spans="1:37" x14ac:dyDescent="0.2">
      <c r="A30" s="14"/>
      <c r="B30" s="14" t="s">
        <v>31</v>
      </c>
      <c r="C30" s="4">
        <v>-10000</v>
      </c>
      <c r="D30" s="9">
        <v>-11000</v>
      </c>
      <c r="E30" s="9">
        <v>-11785.79</v>
      </c>
      <c r="F30" s="42"/>
      <c r="G30" s="22"/>
      <c r="H30" s="9">
        <v>-430.76</v>
      </c>
      <c r="I30" s="54"/>
      <c r="J30" s="32"/>
      <c r="K30" s="32"/>
      <c r="L30" s="54"/>
      <c r="M30" s="32"/>
      <c r="N30" s="32"/>
      <c r="O30" s="33"/>
      <c r="P30" s="32"/>
      <c r="Q30" s="11">
        <f>-55.5+-465.62+-16124.25+-402.4+-9306.81</f>
        <v>-26354.58</v>
      </c>
      <c r="R30" s="39"/>
      <c r="S30" s="11"/>
      <c r="T30" s="61"/>
      <c r="U30" s="11"/>
      <c r="V30" s="6">
        <f t="shared" si="12"/>
        <v>-10000</v>
      </c>
      <c r="W30" s="11">
        <f t="shared" si="13"/>
        <v>-11000</v>
      </c>
      <c r="X30" s="11">
        <f t="shared" si="13"/>
        <v>-38571.130000000005</v>
      </c>
      <c r="Y30" s="6">
        <v>-8000</v>
      </c>
      <c r="Z30" s="11">
        <v>-8000</v>
      </c>
      <c r="AA30" s="11">
        <v>-6108</v>
      </c>
      <c r="AB30" s="56">
        <v>-5000</v>
      </c>
      <c r="AC30" s="22">
        <v>-6500</v>
      </c>
      <c r="AD30" s="9">
        <v>-3159.97</v>
      </c>
      <c r="AE30" s="4">
        <f t="shared" si="14"/>
        <v>-23000</v>
      </c>
      <c r="AF30" s="9">
        <f t="shared" si="14"/>
        <v>-25500</v>
      </c>
      <c r="AG30" s="9">
        <f t="shared" si="14"/>
        <v>-47839.100000000006</v>
      </c>
      <c r="AH30" s="22"/>
    </row>
    <row r="31" spans="1:37" x14ac:dyDescent="0.2">
      <c r="A31" s="14"/>
      <c r="B31" s="14" t="s">
        <v>49</v>
      </c>
      <c r="C31" s="4">
        <v>-500</v>
      </c>
      <c r="D31" s="9"/>
      <c r="E31" s="9"/>
      <c r="F31" s="42"/>
      <c r="G31" s="22">
        <v>-500</v>
      </c>
      <c r="H31" s="9">
        <v>-171.55</v>
      </c>
      <c r="I31" s="54"/>
      <c r="J31" s="32"/>
      <c r="K31" s="32"/>
      <c r="L31" s="54"/>
      <c r="M31" s="32"/>
      <c r="N31" s="32"/>
      <c r="O31" s="33"/>
      <c r="P31" s="32"/>
      <c r="Q31" s="11"/>
      <c r="R31" s="39"/>
      <c r="S31" s="11"/>
      <c r="T31" s="61"/>
      <c r="U31" s="11"/>
      <c r="V31" s="6">
        <f t="shared" si="12"/>
        <v>-500</v>
      </c>
      <c r="W31" s="11">
        <f t="shared" si="13"/>
        <v>-500</v>
      </c>
      <c r="X31" s="11">
        <f t="shared" si="13"/>
        <v>-171.55</v>
      </c>
      <c r="Y31" s="6">
        <v>-500</v>
      </c>
      <c r="Z31" s="11">
        <v>-500</v>
      </c>
      <c r="AA31" s="11">
        <v>-170</v>
      </c>
      <c r="AB31" s="56">
        <v>-4800</v>
      </c>
      <c r="AC31" s="22">
        <v>-4000</v>
      </c>
      <c r="AD31" s="9">
        <v>-6607.64</v>
      </c>
      <c r="AE31" s="4">
        <f t="shared" si="14"/>
        <v>-5800</v>
      </c>
      <c r="AF31" s="9">
        <f t="shared" si="14"/>
        <v>-5000</v>
      </c>
      <c r="AG31" s="9">
        <f t="shared" si="14"/>
        <v>-6949.1900000000005</v>
      </c>
      <c r="AH31" s="22"/>
    </row>
    <row r="32" spans="1:37" x14ac:dyDescent="0.2">
      <c r="A32" s="14"/>
      <c r="B32" s="14" t="s">
        <v>29</v>
      </c>
      <c r="C32" s="4"/>
      <c r="D32" s="9"/>
      <c r="E32" s="9"/>
      <c r="F32" s="42"/>
      <c r="G32" s="22"/>
      <c r="H32" s="9"/>
      <c r="I32" s="54">
        <v>-2000</v>
      </c>
      <c r="J32" s="32"/>
      <c r="K32" s="32">
        <v>-257.8</v>
      </c>
      <c r="L32" s="54"/>
      <c r="M32" s="32"/>
      <c r="N32" s="32"/>
      <c r="O32" s="33"/>
      <c r="P32" s="32"/>
      <c r="Q32" s="11"/>
      <c r="R32" s="39"/>
      <c r="S32" s="11"/>
      <c r="T32" s="61"/>
      <c r="U32" s="11"/>
      <c r="V32" s="6">
        <f t="shared" si="12"/>
        <v>-2000</v>
      </c>
      <c r="W32" s="11">
        <f t="shared" si="13"/>
        <v>0</v>
      </c>
      <c r="X32" s="11">
        <f t="shared" si="13"/>
        <v>-257.8</v>
      </c>
      <c r="Y32" s="6"/>
      <c r="Z32" s="11"/>
      <c r="AA32" s="11"/>
      <c r="AB32" s="42"/>
      <c r="AC32" s="22"/>
      <c r="AD32" s="37"/>
      <c r="AE32" s="4">
        <f t="shared" si="14"/>
        <v>-2000</v>
      </c>
      <c r="AF32" s="9">
        <f t="shared" si="14"/>
        <v>0</v>
      </c>
      <c r="AG32" s="9">
        <f t="shared" si="14"/>
        <v>-257.8</v>
      </c>
      <c r="AH32" s="22"/>
    </row>
    <row r="33" spans="1:36" x14ac:dyDescent="0.2">
      <c r="A33" s="14"/>
      <c r="B33" s="14" t="s">
        <v>21</v>
      </c>
      <c r="C33" s="4"/>
      <c r="D33" s="9"/>
      <c r="E33" s="9">
        <f>-242.86+-4413.42</f>
        <v>-4656.28</v>
      </c>
      <c r="F33" s="42"/>
      <c r="G33" s="22"/>
      <c r="H33" s="9"/>
      <c r="I33" s="54"/>
      <c r="J33" s="32"/>
      <c r="K33" s="32"/>
      <c r="L33" s="54"/>
      <c r="M33" s="32"/>
      <c r="N33" s="32">
        <f>-3805.25+-503.27</f>
        <v>-4308.5200000000004</v>
      </c>
      <c r="O33" s="33"/>
      <c r="P33" s="32"/>
      <c r="Q33" s="11">
        <f>-177.13+-1725.25</f>
        <v>-1902.38</v>
      </c>
      <c r="R33" s="39"/>
      <c r="S33" s="11"/>
      <c r="T33" s="61"/>
      <c r="U33" s="11"/>
      <c r="V33" s="6">
        <f t="shared" si="12"/>
        <v>0</v>
      </c>
      <c r="W33" s="11">
        <f t="shared" si="13"/>
        <v>0</v>
      </c>
      <c r="X33" s="11">
        <f t="shared" si="13"/>
        <v>-10867.18</v>
      </c>
      <c r="Y33" s="6"/>
      <c r="Z33" s="11"/>
      <c r="AA33" s="11">
        <f>-2221.74+883.04</f>
        <v>-1338.6999999999998</v>
      </c>
      <c r="AB33" s="56">
        <v>-12300</v>
      </c>
      <c r="AC33" s="22">
        <v>-12800</v>
      </c>
      <c r="AD33" s="9">
        <f>-5572.54+-208.9+-1624.63+12.33+-104.9+-546.37+-589.62+-682.12</f>
        <v>-9316.75</v>
      </c>
      <c r="AE33" s="4">
        <f t="shared" si="14"/>
        <v>-12300</v>
      </c>
      <c r="AF33" s="9">
        <f t="shared" si="14"/>
        <v>-12800</v>
      </c>
      <c r="AG33" s="9">
        <f t="shared" si="14"/>
        <v>-21522.63</v>
      </c>
      <c r="AH33" s="22"/>
    </row>
    <row r="34" spans="1:36" x14ac:dyDescent="0.2">
      <c r="A34" s="14"/>
      <c r="B34" s="31" t="s">
        <v>45</v>
      </c>
      <c r="C34" s="4">
        <v>-2000</v>
      </c>
      <c r="D34" s="9">
        <v>-2500</v>
      </c>
      <c r="E34" s="9"/>
      <c r="F34" s="42">
        <v>-1500</v>
      </c>
      <c r="G34" s="22">
        <v>-2000</v>
      </c>
      <c r="H34" s="9">
        <v>-2935.6</v>
      </c>
      <c r="I34" s="54"/>
      <c r="J34" s="32"/>
      <c r="K34" s="32">
        <v>-135.5</v>
      </c>
      <c r="L34" s="54"/>
      <c r="M34" s="32"/>
      <c r="N34" s="32"/>
      <c r="O34" s="33"/>
      <c r="P34" s="32"/>
      <c r="Q34" s="11">
        <f>-16.95+-54.26+-156+-120.13</f>
        <v>-347.34</v>
      </c>
      <c r="R34" s="39"/>
      <c r="S34" s="11"/>
      <c r="T34" s="61"/>
      <c r="U34" s="11"/>
      <c r="V34" s="6">
        <f t="shared" si="12"/>
        <v>-3500</v>
      </c>
      <c r="W34" s="11">
        <f t="shared" si="13"/>
        <v>-4500</v>
      </c>
      <c r="X34" s="11">
        <f t="shared" si="13"/>
        <v>-3418.44</v>
      </c>
      <c r="Y34" s="6"/>
      <c r="Z34" s="11">
        <v>-500</v>
      </c>
      <c r="AA34" s="11">
        <v>-883.04</v>
      </c>
      <c r="AB34" s="42">
        <v>-4000</v>
      </c>
      <c r="AC34" s="22">
        <v>-3000</v>
      </c>
      <c r="AD34" s="9">
        <v>-4296.95</v>
      </c>
      <c r="AE34" s="4">
        <f t="shared" si="14"/>
        <v>-7500</v>
      </c>
      <c r="AF34" s="9">
        <f t="shared" si="14"/>
        <v>-8000</v>
      </c>
      <c r="AG34" s="9">
        <f t="shared" si="14"/>
        <v>-8598.43</v>
      </c>
      <c r="AH34" s="22"/>
    </row>
    <row r="35" spans="1:36" x14ac:dyDescent="0.2">
      <c r="A35" s="14"/>
      <c r="B35" s="14" t="s">
        <v>22</v>
      </c>
      <c r="C35" s="4">
        <v>-6500</v>
      </c>
      <c r="D35" s="9">
        <v>-5800</v>
      </c>
      <c r="E35" s="9">
        <v>-5671.16</v>
      </c>
      <c r="F35" s="42"/>
      <c r="G35" s="22"/>
      <c r="H35" s="9"/>
      <c r="I35" s="54"/>
      <c r="J35" s="32"/>
      <c r="K35" s="32"/>
      <c r="L35" s="54"/>
      <c r="M35" s="32"/>
      <c r="N35" s="32"/>
      <c r="O35" s="33"/>
      <c r="P35" s="32"/>
      <c r="Q35" s="11"/>
      <c r="R35" s="39"/>
      <c r="S35" s="11"/>
      <c r="T35" s="61"/>
      <c r="U35" s="11"/>
      <c r="V35" s="6">
        <f t="shared" si="12"/>
        <v>-6500</v>
      </c>
      <c r="W35" s="11">
        <f t="shared" si="13"/>
        <v>-5800</v>
      </c>
      <c r="X35" s="11">
        <f t="shared" si="13"/>
        <v>-5671.16</v>
      </c>
      <c r="Y35" s="6">
        <v>-4300</v>
      </c>
      <c r="Z35" s="11">
        <v>-4100</v>
      </c>
      <c r="AA35" s="11">
        <v>-3780.77</v>
      </c>
      <c r="AB35" s="44"/>
      <c r="AC35" s="64"/>
      <c r="AD35" s="37"/>
      <c r="AE35" s="4">
        <f t="shared" si="14"/>
        <v>-10800</v>
      </c>
      <c r="AF35" s="9">
        <f t="shared" si="14"/>
        <v>-9900</v>
      </c>
      <c r="AG35" s="9">
        <f t="shared" si="14"/>
        <v>-9451.93</v>
      </c>
      <c r="AH35" s="22"/>
    </row>
    <row r="36" spans="1:36" x14ac:dyDescent="0.2">
      <c r="A36" s="14"/>
      <c r="B36" s="14" t="s">
        <v>32</v>
      </c>
      <c r="C36" s="4"/>
      <c r="D36" s="9"/>
      <c r="E36" s="9"/>
      <c r="F36" s="42"/>
      <c r="G36" s="22"/>
      <c r="H36" s="9"/>
      <c r="I36" s="54"/>
      <c r="J36" s="32"/>
      <c r="K36" s="32"/>
      <c r="L36" s="54"/>
      <c r="M36" s="32"/>
      <c r="N36" s="32"/>
      <c r="O36" s="33"/>
      <c r="P36" s="32"/>
      <c r="Q36" s="11">
        <f>-340+-320</f>
        <v>-660</v>
      </c>
      <c r="R36" s="39"/>
      <c r="S36" s="11"/>
      <c r="T36" s="61"/>
      <c r="U36" s="11"/>
      <c r="V36" s="6">
        <f t="shared" si="12"/>
        <v>0</v>
      </c>
      <c r="W36" s="11">
        <f t="shared" si="13"/>
        <v>0</v>
      </c>
      <c r="X36" s="11">
        <f t="shared" si="13"/>
        <v>-660</v>
      </c>
      <c r="Y36" s="6"/>
      <c r="Z36" s="11"/>
      <c r="AA36" s="11"/>
      <c r="AB36" s="42">
        <v>-2500</v>
      </c>
      <c r="AC36" s="22">
        <v>-2500</v>
      </c>
      <c r="AD36" s="9">
        <v>-2809.32</v>
      </c>
      <c r="AE36" s="4">
        <f t="shared" si="14"/>
        <v>-2500</v>
      </c>
      <c r="AF36" s="9">
        <f t="shared" si="14"/>
        <v>-2500</v>
      </c>
      <c r="AG36" s="9">
        <f t="shared" si="14"/>
        <v>-3469.32</v>
      </c>
      <c r="AH36" s="22"/>
    </row>
    <row r="37" spans="1:36" x14ac:dyDescent="0.2">
      <c r="A37" s="14"/>
      <c r="B37" s="14" t="s">
        <v>5</v>
      </c>
      <c r="C37" s="4"/>
      <c r="D37" s="9"/>
      <c r="E37" s="9"/>
      <c r="F37" s="42"/>
      <c r="G37" s="22"/>
      <c r="H37" s="9"/>
      <c r="I37" s="54"/>
      <c r="J37" s="32"/>
      <c r="K37" s="32"/>
      <c r="L37" s="54"/>
      <c r="M37" s="32"/>
      <c r="N37" s="32"/>
      <c r="O37" s="33"/>
      <c r="P37" s="32"/>
      <c r="Q37" s="32"/>
      <c r="R37" s="39"/>
      <c r="S37" s="11"/>
      <c r="T37" s="61"/>
      <c r="U37" s="11"/>
      <c r="V37" s="6">
        <f t="shared" si="12"/>
        <v>0</v>
      </c>
      <c r="W37" s="11">
        <f t="shared" si="13"/>
        <v>0</v>
      </c>
      <c r="X37" s="11"/>
      <c r="Y37" s="6"/>
      <c r="Z37" s="11"/>
      <c r="AA37" s="11"/>
      <c r="AB37" s="63">
        <v>-8400</v>
      </c>
      <c r="AC37" s="9">
        <v>-8200</v>
      </c>
      <c r="AD37" s="9">
        <f>-6988.98+-30810.42</f>
        <v>-37799.399999999994</v>
      </c>
      <c r="AE37" s="42">
        <f t="shared" si="14"/>
        <v>-8400</v>
      </c>
      <c r="AF37" s="9">
        <f t="shared" si="14"/>
        <v>-8200</v>
      </c>
      <c r="AG37" s="9">
        <f t="shared" si="14"/>
        <v>-37799.399999999994</v>
      </c>
      <c r="AH37" s="22"/>
    </row>
    <row r="38" spans="1:36" x14ac:dyDescent="0.2">
      <c r="A38" s="14"/>
      <c r="B38" s="72" t="s">
        <v>57</v>
      </c>
      <c r="C38" s="5"/>
      <c r="D38" s="10"/>
      <c r="E38" s="10"/>
      <c r="F38" s="43"/>
      <c r="G38" s="26"/>
      <c r="H38" s="10"/>
      <c r="I38" s="55"/>
      <c r="J38" s="47"/>
      <c r="K38" s="47"/>
      <c r="L38" s="55"/>
      <c r="M38" s="47"/>
      <c r="N38" s="47"/>
      <c r="O38" s="34">
        <v>-70250</v>
      </c>
      <c r="P38" s="47">
        <f>-157364+-10200</f>
        <v>-167564</v>
      </c>
      <c r="Q38" s="47"/>
      <c r="R38" s="40"/>
      <c r="S38" s="12"/>
      <c r="T38" s="62"/>
      <c r="U38" s="12"/>
      <c r="V38" s="8">
        <f t="shared" si="12"/>
        <v>-70250</v>
      </c>
      <c r="W38" s="11">
        <f t="shared" si="13"/>
        <v>-167564</v>
      </c>
      <c r="X38" s="12">
        <f t="shared" si="13"/>
        <v>0</v>
      </c>
      <c r="Y38" s="8"/>
      <c r="Z38" s="12"/>
      <c r="AA38" s="12"/>
      <c r="AB38" s="43"/>
      <c r="AC38" s="26"/>
      <c r="AD38" s="10"/>
      <c r="AE38" s="5">
        <f t="shared" si="14"/>
        <v>-70250</v>
      </c>
      <c r="AF38" s="10">
        <f t="shared" si="14"/>
        <v>-167564</v>
      </c>
      <c r="AG38" s="10">
        <f t="shared" si="14"/>
        <v>0</v>
      </c>
      <c r="AH38" s="26"/>
      <c r="AJ38" s="2"/>
    </row>
    <row r="39" spans="1:36" x14ac:dyDescent="0.2">
      <c r="A39" s="14" t="s">
        <v>6</v>
      </c>
      <c r="B39" s="14"/>
      <c r="C39" s="4">
        <f>SUM(C19:C38)</f>
        <v>-98500</v>
      </c>
      <c r="D39" s="9">
        <f>SUM(D19:D38)</f>
        <v>-188800</v>
      </c>
      <c r="E39" s="9">
        <f>SUM(E19:E38)</f>
        <v>-195232.9</v>
      </c>
      <c r="F39" s="4">
        <f t="shared" ref="F39:R39" si="15">SUM(F19:F38)</f>
        <v>-11000</v>
      </c>
      <c r="G39" s="9">
        <f t="shared" ref="G39" si="16">SUM(G19:G38)</f>
        <v>-10000</v>
      </c>
      <c r="H39" s="9">
        <f t="shared" si="15"/>
        <v>-10662.35</v>
      </c>
      <c r="I39" s="4">
        <f t="shared" si="15"/>
        <v>-18500</v>
      </c>
      <c r="J39" s="9">
        <f t="shared" ref="J39" si="17">SUM(J19:J38)</f>
        <v>-17500</v>
      </c>
      <c r="K39" s="9">
        <f t="shared" si="15"/>
        <v>-20265.79</v>
      </c>
      <c r="L39" s="4">
        <f t="shared" si="15"/>
        <v>-4000</v>
      </c>
      <c r="M39" s="9">
        <f t="shared" ref="M39" si="18">SUM(M19:M38)</f>
        <v>-6200</v>
      </c>
      <c r="N39" s="9">
        <f t="shared" si="15"/>
        <v>-15542.76</v>
      </c>
      <c r="O39" s="4">
        <f t="shared" si="15"/>
        <v>-188250</v>
      </c>
      <c r="P39" s="9">
        <f t="shared" ref="P39" si="19">SUM(P19:P38)</f>
        <v>-297550</v>
      </c>
      <c r="Q39" s="9">
        <f t="shared" si="15"/>
        <v>-181642.61000000002</v>
      </c>
      <c r="R39" s="4">
        <f t="shared" si="15"/>
        <v>0</v>
      </c>
      <c r="S39" s="9"/>
      <c r="T39" s="4">
        <f>SUM(T19:T38)</f>
        <v>0</v>
      </c>
      <c r="U39" s="11">
        <f t="shared" ref="U39" si="20">SUM(U19:U38)</f>
        <v>0</v>
      </c>
      <c r="V39" s="6">
        <f t="shared" si="12"/>
        <v>-320250</v>
      </c>
      <c r="W39" s="9">
        <f t="shared" ref="W39:Y39" si="21">SUM(W19:W38)</f>
        <v>-520050</v>
      </c>
      <c r="X39" s="9">
        <f t="shared" si="21"/>
        <v>-364003.87999999989</v>
      </c>
      <c r="Y39" s="4">
        <f t="shared" si="21"/>
        <v>-75300</v>
      </c>
      <c r="Z39" s="9">
        <f t="shared" ref="Z39" si="22">SUM(Z19:Z38)</f>
        <v>-149100</v>
      </c>
      <c r="AA39" s="9">
        <f>SUM(AA19:AA38)</f>
        <v>-130245.56</v>
      </c>
      <c r="AB39" s="4">
        <f>SUM(AB19:AB38)</f>
        <v>-315000</v>
      </c>
      <c r="AC39" s="9">
        <f t="shared" ref="AC39" si="23">SUM(AC19:AC38)</f>
        <v>-131850</v>
      </c>
      <c r="AD39" s="9">
        <f>SUM(AD20:AD38)</f>
        <v>-113629.65999999999</v>
      </c>
      <c r="AE39" s="4">
        <f>V39+Y39+AB39</f>
        <v>-710550</v>
      </c>
      <c r="AF39" s="9">
        <f>SUM(AF19:AF38)</f>
        <v>-801000</v>
      </c>
      <c r="AG39" s="9">
        <f>SUM(AG19:AG38)</f>
        <v>-704194.51000000013</v>
      </c>
      <c r="AH39" s="22" t="e">
        <f>#REF!+#REF!+#REF!+#REF!+#REF!+#REF!+#REF!+#REF!</f>
        <v>#REF!</v>
      </c>
    </row>
    <row r="40" spans="1:36" x14ac:dyDescent="0.2">
      <c r="A40" s="14"/>
      <c r="B40" s="14"/>
      <c r="C40" s="4"/>
      <c r="D40" s="9"/>
      <c r="E40" s="9"/>
      <c r="F40" s="42"/>
      <c r="G40" s="22"/>
      <c r="H40" s="9"/>
      <c r="I40" s="42"/>
      <c r="J40" s="22"/>
      <c r="K40" s="32"/>
      <c r="L40" s="54"/>
      <c r="M40" s="32"/>
      <c r="N40" s="32"/>
      <c r="O40" s="33"/>
      <c r="P40" s="32"/>
      <c r="Q40" s="11"/>
      <c r="R40" s="39"/>
      <c r="S40" s="11"/>
      <c r="T40" s="61"/>
      <c r="U40" s="11"/>
      <c r="V40" s="6"/>
      <c r="W40" s="11"/>
      <c r="X40" s="11"/>
      <c r="Y40" s="6"/>
      <c r="Z40" s="11"/>
      <c r="AA40" s="11"/>
      <c r="AB40" s="42"/>
      <c r="AC40" s="22"/>
      <c r="AD40" s="9"/>
      <c r="AE40" s="4"/>
      <c r="AF40" s="9"/>
      <c r="AG40" s="9"/>
      <c r="AH40" s="22"/>
    </row>
    <row r="41" spans="1:36" s="1" customFormat="1" x14ac:dyDescent="0.2">
      <c r="A41" s="18" t="s">
        <v>19</v>
      </c>
      <c r="B41" s="18"/>
      <c r="C41" s="4">
        <f t="shared" ref="C41:R41" si="24">C17+C39</f>
        <v>-52500</v>
      </c>
      <c r="D41" s="9">
        <f t="shared" ref="D41" si="25">D17+D39</f>
        <v>-136800</v>
      </c>
      <c r="E41" s="9">
        <f t="shared" si="24"/>
        <v>-150201.5</v>
      </c>
      <c r="F41" s="4">
        <f t="shared" si="24"/>
        <v>0</v>
      </c>
      <c r="G41" s="9">
        <f t="shared" ref="G41" si="26">G17+G39</f>
        <v>0</v>
      </c>
      <c r="H41" s="9">
        <f t="shared" si="24"/>
        <v>0</v>
      </c>
      <c r="I41" s="4">
        <f t="shared" si="24"/>
        <v>-7500</v>
      </c>
      <c r="J41" s="9">
        <f t="shared" ref="J41" si="27">J17+J39</f>
        <v>-6500</v>
      </c>
      <c r="K41" s="9">
        <f t="shared" si="24"/>
        <v>-8801.0700000000015</v>
      </c>
      <c r="L41" s="4">
        <f t="shared" si="24"/>
        <v>1000</v>
      </c>
      <c r="M41" s="9">
        <f t="shared" ref="M41" si="28">M17+M39</f>
        <v>-2200</v>
      </c>
      <c r="N41" s="9">
        <f t="shared" si="24"/>
        <v>-10542.76</v>
      </c>
      <c r="O41" s="4">
        <f t="shared" si="24"/>
        <v>-26700</v>
      </c>
      <c r="P41" s="9">
        <f t="shared" ref="P41" si="29">P17+P39</f>
        <v>-44550</v>
      </c>
      <c r="Q41" s="9">
        <f t="shared" si="24"/>
        <v>-18499.600000000006</v>
      </c>
      <c r="R41" s="4">
        <f t="shared" si="24"/>
        <v>0</v>
      </c>
      <c r="S41" s="9"/>
      <c r="T41" s="4">
        <f>T17+T39</f>
        <v>0</v>
      </c>
      <c r="U41" s="9">
        <f t="shared" ref="U41" si="30">U17+U39</f>
        <v>0</v>
      </c>
      <c r="V41" s="6">
        <f>C41+F41+I41+L41+O41+R41+T41</f>
        <v>-85700</v>
      </c>
      <c r="W41" s="11">
        <f>D41+G41+J41+M41+P41</f>
        <v>-190050</v>
      </c>
      <c r="X41" s="9">
        <f t="shared" ref="X41:AD41" si="31">X17+X39</f>
        <v>-128702.39999999988</v>
      </c>
      <c r="Y41" s="4">
        <f t="shared" si="31"/>
        <v>-18300</v>
      </c>
      <c r="Z41" s="9">
        <f t="shared" ref="Z41" si="32">Z17+Z39</f>
        <v>-85100</v>
      </c>
      <c r="AA41" s="9">
        <f t="shared" si="31"/>
        <v>-74378.959999999992</v>
      </c>
      <c r="AB41" s="4">
        <f t="shared" si="31"/>
        <v>-299000</v>
      </c>
      <c r="AC41" s="9">
        <f t="shared" ref="AC41" si="33">AC17+AC39</f>
        <v>-115850</v>
      </c>
      <c r="AD41" s="9">
        <f t="shared" si="31"/>
        <v>-104608.65999999999</v>
      </c>
      <c r="AE41" s="4">
        <f>V41+Y41+AB41</f>
        <v>-403000</v>
      </c>
      <c r="AF41" s="9">
        <f>AF17+AF39</f>
        <v>-391000</v>
      </c>
      <c r="AG41" s="9">
        <f>AG17+AG39</f>
        <v>-404005.43000000011</v>
      </c>
      <c r="AH41" s="22" t="e">
        <f>#REF!+#REF!+#REF!+#REF!+#REF!+#REF!+#REF!+#REF!</f>
        <v>#REF!</v>
      </c>
      <c r="AI41" s="3"/>
    </row>
    <row r="42" spans="1:36" x14ac:dyDescent="0.2">
      <c r="A42" s="14"/>
      <c r="B42" s="14"/>
      <c r="C42" s="4"/>
      <c r="D42" s="9"/>
      <c r="E42" s="9"/>
      <c r="F42" s="42"/>
      <c r="G42" s="22"/>
      <c r="H42" s="9"/>
      <c r="I42" s="54"/>
      <c r="J42" s="32"/>
      <c r="K42" s="32"/>
      <c r="L42" s="54"/>
      <c r="M42" s="32"/>
      <c r="N42" s="32"/>
      <c r="O42" s="33"/>
      <c r="P42" s="32"/>
      <c r="Q42" s="11"/>
      <c r="R42" s="46"/>
      <c r="S42" s="9"/>
      <c r="T42" s="61"/>
      <c r="U42" s="11"/>
      <c r="V42" s="6"/>
      <c r="W42" s="11"/>
      <c r="X42" s="11"/>
      <c r="Y42" s="6"/>
      <c r="Z42" s="11"/>
      <c r="AA42" s="11"/>
      <c r="AB42" s="42"/>
      <c r="AC42" s="22"/>
      <c r="AD42" s="9"/>
      <c r="AE42" s="4"/>
      <c r="AF42" s="9"/>
      <c r="AG42" s="9"/>
      <c r="AH42" s="22"/>
    </row>
    <row r="43" spans="1:36" x14ac:dyDescent="0.2">
      <c r="A43" s="18" t="s">
        <v>7</v>
      </c>
      <c r="B43" s="14"/>
      <c r="C43" s="4"/>
      <c r="D43" s="9"/>
      <c r="E43" s="9"/>
      <c r="F43" s="42"/>
      <c r="G43" s="22"/>
      <c r="H43" s="9"/>
      <c r="I43" s="54"/>
      <c r="J43" s="32"/>
      <c r="K43" s="32"/>
      <c r="L43" s="54"/>
      <c r="M43" s="32"/>
      <c r="N43" s="32"/>
      <c r="O43" s="33"/>
      <c r="P43" s="32"/>
      <c r="Q43" s="11"/>
      <c r="R43" s="39"/>
      <c r="S43" s="11"/>
      <c r="T43" s="61"/>
      <c r="U43" s="11"/>
      <c r="V43" s="6"/>
      <c r="W43" s="11"/>
      <c r="X43" s="11"/>
      <c r="Y43" s="6"/>
      <c r="Z43" s="11"/>
      <c r="AA43" s="11"/>
      <c r="AB43" s="42"/>
      <c r="AC43" s="22"/>
      <c r="AD43" s="9"/>
      <c r="AE43" s="4"/>
      <c r="AF43" s="9"/>
      <c r="AG43" s="9"/>
      <c r="AH43" s="22"/>
    </row>
    <row r="44" spans="1:36" x14ac:dyDescent="0.2">
      <c r="A44" s="14"/>
      <c r="B44" s="14" t="s">
        <v>27</v>
      </c>
      <c r="C44" s="4"/>
      <c r="D44" s="9"/>
      <c r="E44" s="9"/>
      <c r="F44" s="42"/>
      <c r="G44" s="22"/>
      <c r="H44" s="9"/>
      <c r="I44" s="54"/>
      <c r="J44" s="32"/>
      <c r="K44" s="32"/>
      <c r="L44" s="54"/>
      <c r="M44" s="32"/>
      <c r="N44" s="32"/>
      <c r="O44" s="33"/>
      <c r="P44" s="32"/>
      <c r="Q44" s="11"/>
      <c r="R44" s="39"/>
      <c r="S44" s="11"/>
      <c r="T44" s="61"/>
      <c r="U44" s="11"/>
      <c r="V44" s="6"/>
      <c r="W44" s="11"/>
      <c r="X44" s="11"/>
      <c r="Y44" s="6"/>
      <c r="Z44" s="11"/>
      <c r="AA44" s="11"/>
      <c r="AB44" s="42">
        <v>210000</v>
      </c>
      <c r="AC44" s="22">
        <v>205000</v>
      </c>
      <c r="AD44" s="9">
        <v>202050.99</v>
      </c>
      <c r="AE44" s="4">
        <f t="shared" ref="AE44:AG45" si="34">V44+Y44+AB44</f>
        <v>210000</v>
      </c>
      <c r="AF44" s="9">
        <f t="shared" si="34"/>
        <v>205000</v>
      </c>
      <c r="AG44" s="9">
        <f t="shared" si="34"/>
        <v>202050.99</v>
      </c>
      <c r="AH44" s="22" t="e">
        <f>#REF!+#REF!+#REF!+#REF!+#REF!+#REF!+#REF!+#REF!</f>
        <v>#REF!</v>
      </c>
    </row>
    <row r="45" spans="1:36" x14ac:dyDescent="0.2">
      <c r="A45" s="14"/>
      <c r="B45" s="14" t="s">
        <v>33</v>
      </c>
      <c r="C45" s="4"/>
      <c r="D45" s="9"/>
      <c r="E45" s="9"/>
      <c r="F45" s="42"/>
      <c r="G45" s="22"/>
      <c r="H45" s="9"/>
      <c r="I45" s="54"/>
      <c r="J45" s="32"/>
      <c r="K45" s="32"/>
      <c r="L45" s="54"/>
      <c r="M45" s="32"/>
      <c r="N45" s="32"/>
      <c r="O45" s="33"/>
      <c r="P45" s="32"/>
      <c r="Q45" s="11"/>
      <c r="R45" s="39"/>
      <c r="S45" s="11"/>
      <c r="T45" s="61"/>
      <c r="U45" s="11"/>
      <c r="V45" s="6"/>
      <c r="W45" s="11"/>
      <c r="X45" s="11"/>
      <c r="Y45" s="6"/>
      <c r="Z45" s="11"/>
      <c r="AA45" s="11"/>
      <c r="AB45" s="42"/>
      <c r="AC45" s="22"/>
      <c r="AD45" s="9"/>
      <c r="AE45" s="4">
        <f t="shared" si="34"/>
        <v>0</v>
      </c>
      <c r="AF45" s="9">
        <f t="shared" si="34"/>
        <v>0</v>
      </c>
      <c r="AG45" s="9">
        <f t="shared" si="34"/>
        <v>0</v>
      </c>
      <c r="AH45" s="22" t="e">
        <f>#REF!+#REF!+#REF!+#REF!+#REF!+#REF!+#REF!+#REF!</f>
        <v>#REF!</v>
      </c>
    </row>
    <row r="46" spans="1:36" x14ac:dyDescent="0.2">
      <c r="A46" s="14"/>
      <c r="B46" s="14" t="s">
        <v>35</v>
      </c>
      <c r="C46" s="5"/>
      <c r="D46" s="10"/>
      <c r="E46" s="10"/>
      <c r="F46" s="43"/>
      <c r="G46" s="26"/>
      <c r="H46" s="10"/>
      <c r="I46" s="55"/>
      <c r="J46" s="47"/>
      <c r="K46" s="47"/>
      <c r="L46" s="55"/>
      <c r="M46" s="47"/>
      <c r="N46" s="47"/>
      <c r="O46" s="34"/>
      <c r="P46" s="47"/>
      <c r="Q46" s="12"/>
      <c r="R46" s="40"/>
      <c r="S46" s="12"/>
      <c r="T46" s="62"/>
      <c r="U46" s="12"/>
      <c r="V46" s="8"/>
      <c r="W46" s="12"/>
      <c r="X46" s="12"/>
      <c r="Y46" s="8"/>
      <c r="Z46" s="12"/>
      <c r="AA46" s="12"/>
      <c r="AB46" s="43"/>
      <c r="AC46" s="26"/>
      <c r="AD46" s="10">
        <v>-7.98</v>
      </c>
      <c r="AE46" s="5"/>
      <c r="AF46" s="10">
        <f>W46+Z46+AC46</f>
        <v>0</v>
      </c>
      <c r="AG46" s="10">
        <f>X46+AA46+AD46</f>
        <v>-7.98</v>
      </c>
      <c r="AH46" s="26"/>
    </row>
    <row r="47" spans="1:36" x14ac:dyDescent="0.2">
      <c r="A47" s="14" t="s">
        <v>8</v>
      </c>
      <c r="B47" s="14"/>
      <c r="C47" s="4">
        <f t="shared" ref="C47:R47" si="35">SUM(C44:C46)</f>
        <v>0</v>
      </c>
      <c r="D47" s="9">
        <f t="shared" ref="D47" si="36">SUM(D44:D46)</f>
        <v>0</v>
      </c>
      <c r="E47" s="9">
        <f t="shared" si="35"/>
        <v>0</v>
      </c>
      <c r="F47" s="4">
        <f t="shared" si="35"/>
        <v>0</v>
      </c>
      <c r="G47" s="9">
        <f t="shared" ref="G47" si="37">SUM(G44:G46)</f>
        <v>0</v>
      </c>
      <c r="H47" s="9">
        <f t="shared" si="35"/>
        <v>0</v>
      </c>
      <c r="I47" s="4">
        <f t="shared" si="35"/>
        <v>0</v>
      </c>
      <c r="J47" s="9">
        <f t="shared" ref="J47" si="38">SUM(J44:J46)</f>
        <v>0</v>
      </c>
      <c r="K47" s="9">
        <f t="shared" si="35"/>
        <v>0</v>
      </c>
      <c r="L47" s="4">
        <f t="shared" si="35"/>
        <v>0</v>
      </c>
      <c r="M47" s="9">
        <f t="shared" ref="M47" si="39">SUM(M44:M46)</f>
        <v>0</v>
      </c>
      <c r="N47" s="9">
        <f t="shared" si="35"/>
        <v>0</v>
      </c>
      <c r="O47" s="4">
        <f t="shared" si="35"/>
        <v>0</v>
      </c>
      <c r="P47" s="9">
        <f t="shared" ref="P47" si="40">SUM(P44:P46)</f>
        <v>0</v>
      </c>
      <c r="Q47" s="9">
        <f t="shared" si="35"/>
        <v>0</v>
      </c>
      <c r="R47" s="4">
        <f t="shared" si="35"/>
        <v>0</v>
      </c>
      <c r="S47" s="11"/>
      <c r="T47" s="4">
        <f>SUM(T44:T46)</f>
        <v>0</v>
      </c>
      <c r="U47" s="9"/>
      <c r="V47" s="6">
        <f>C47+F47+I47+L47+O47+R47+T47</f>
        <v>0</v>
      </c>
      <c r="W47" s="9">
        <f t="shared" ref="W47:AD47" si="41">SUM(W44:W46)</f>
        <v>0</v>
      </c>
      <c r="X47" s="9">
        <f t="shared" si="41"/>
        <v>0</v>
      </c>
      <c r="Y47" s="4">
        <f t="shared" si="41"/>
        <v>0</v>
      </c>
      <c r="Z47" s="9">
        <f t="shared" ref="Z47" si="42">SUM(Z44:Z46)</f>
        <v>0</v>
      </c>
      <c r="AA47" s="9">
        <f t="shared" si="41"/>
        <v>0</v>
      </c>
      <c r="AB47" s="4">
        <f t="shared" si="41"/>
        <v>210000</v>
      </c>
      <c r="AC47" s="9">
        <f t="shared" ref="AC47" si="43">SUM(AC44:AC46)</f>
        <v>205000</v>
      </c>
      <c r="AD47" s="9">
        <f t="shared" si="41"/>
        <v>202043.00999999998</v>
      </c>
      <c r="AE47" s="4">
        <f>V47+Y47+AB47</f>
        <v>210000</v>
      </c>
      <c r="AF47" s="9">
        <f>SUM(AF44:AF46)</f>
        <v>205000</v>
      </c>
      <c r="AG47" s="9">
        <f>SUM(AG44:AG46)</f>
        <v>202043.00999999998</v>
      </c>
      <c r="AH47" s="22" t="e">
        <f>#REF!+#REF!+#REF!+#REF!+#REF!+#REF!+#REF!+#REF!</f>
        <v>#REF!</v>
      </c>
    </row>
    <row r="48" spans="1:36" x14ac:dyDescent="0.2">
      <c r="A48" s="14"/>
      <c r="B48" s="14"/>
      <c r="C48" s="4"/>
      <c r="D48" s="9"/>
      <c r="E48" s="9"/>
      <c r="F48" s="42"/>
      <c r="G48" s="22"/>
      <c r="H48" s="9"/>
      <c r="I48" s="54"/>
      <c r="J48" s="32"/>
      <c r="K48" s="32"/>
      <c r="L48" s="54"/>
      <c r="M48" s="32"/>
      <c r="N48" s="32"/>
      <c r="O48" s="33"/>
      <c r="P48" s="32"/>
      <c r="Q48" s="11"/>
      <c r="R48" s="39"/>
      <c r="S48" s="11"/>
      <c r="T48" s="61"/>
      <c r="U48" s="11"/>
      <c r="V48" s="6"/>
      <c r="W48" s="11"/>
      <c r="X48" s="11"/>
      <c r="Y48" s="6"/>
      <c r="Z48" s="11"/>
      <c r="AA48" s="11"/>
      <c r="AB48" s="42"/>
      <c r="AC48" s="22"/>
      <c r="AD48" s="9"/>
      <c r="AE48" s="4"/>
      <c r="AF48" s="9"/>
      <c r="AG48" s="9"/>
      <c r="AH48" s="22"/>
    </row>
    <row r="49" spans="1:34" x14ac:dyDescent="0.2">
      <c r="A49" s="18" t="s">
        <v>9</v>
      </c>
      <c r="B49" s="14"/>
      <c r="C49" s="4"/>
      <c r="D49" s="9"/>
      <c r="E49" s="9"/>
      <c r="F49" s="42"/>
      <c r="G49" s="22"/>
      <c r="H49" s="9"/>
      <c r="I49" s="54"/>
      <c r="J49" s="32"/>
      <c r="K49" s="32"/>
      <c r="L49" s="54"/>
      <c r="M49" s="32"/>
      <c r="N49" s="32"/>
      <c r="O49" s="33"/>
      <c r="P49" s="32"/>
      <c r="Q49" s="11"/>
      <c r="R49" s="39"/>
      <c r="S49" s="11"/>
      <c r="T49" s="61"/>
      <c r="U49" s="11"/>
      <c r="V49" s="6"/>
      <c r="W49" s="11"/>
      <c r="X49" s="11"/>
      <c r="Y49" s="6"/>
      <c r="Z49" s="11"/>
      <c r="AA49" s="11"/>
      <c r="AB49" s="42"/>
      <c r="AC49" s="22"/>
      <c r="AD49" s="9"/>
      <c r="AE49" s="4"/>
      <c r="AF49" s="9"/>
      <c r="AG49" s="9"/>
      <c r="AH49" s="22"/>
    </row>
    <row r="50" spans="1:34" x14ac:dyDescent="0.2">
      <c r="A50" s="14"/>
      <c r="B50" s="14" t="s">
        <v>10</v>
      </c>
      <c r="C50" s="5"/>
      <c r="D50" s="10"/>
      <c r="E50" s="10"/>
      <c r="F50" s="43"/>
      <c r="G50" s="26"/>
      <c r="H50" s="10"/>
      <c r="I50" s="55"/>
      <c r="J50" s="47"/>
      <c r="K50" s="47"/>
      <c r="L50" s="55"/>
      <c r="M50" s="47"/>
      <c r="N50" s="47"/>
      <c r="O50" s="34"/>
      <c r="P50" s="47"/>
      <c r="Q50" s="12"/>
      <c r="R50" s="40"/>
      <c r="S50" s="12"/>
      <c r="T50" s="62"/>
      <c r="U50" s="12"/>
      <c r="V50" s="8"/>
      <c r="W50" s="12"/>
      <c r="X50" s="12"/>
      <c r="Y50" s="8"/>
      <c r="Z50" s="12"/>
      <c r="AA50" s="12"/>
      <c r="AB50" s="73"/>
      <c r="AC50" s="26">
        <v>2000</v>
      </c>
      <c r="AD50" s="10">
        <v>1677.13</v>
      </c>
      <c r="AE50" s="5">
        <f>V50+Y50+AB50</f>
        <v>0</v>
      </c>
      <c r="AF50" s="10">
        <f>W50+Z50+AC50</f>
        <v>2000</v>
      </c>
      <c r="AG50" s="10">
        <f>X50+AA50+AD50</f>
        <v>1677.13</v>
      </c>
      <c r="AH50" s="26"/>
    </row>
    <row r="51" spans="1:34" x14ac:dyDescent="0.2">
      <c r="A51" s="14" t="s">
        <v>20</v>
      </c>
      <c r="B51" s="14"/>
      <c r="C51" s="4"/>
      <c r="D51" s="9"/>
      <c r="E51" s="9"/>
      <c r="F51" s="42"/>
      <c r="G51" s="22"/>
      <c r="H51" s="9"/>
      <c r="I51" s="56"/>
      <c r="J51" s="22"/>
      <c r="K51" s="9"/>
      <c r="L51" s="56"/>
      <c r="M51" s="22"/>
      <c r="N51" s="9"/>
      <c r="O51" s="42"/>
      <c r="P51" s="22"/>
      <c r="Q51" s="9"/>
      <c r="R51" s="41"/>
      <c r="S51" s="9"/>
      <c r="T51" s="63"/>
      <c r="U51" s="9"/>
      <c r="V51" s="6"/>
      <c r="W51" s="11"/>
      <c r="X51" s="11"/>
      <c r="Y51" s="6"/>
      <c r="Z51" s="11"/>
      <c r="AA51" s="11"/>
      <c r="AB51" s="4">
        <f t="shared" ref="AB51:AG51" si="44">SUM(AB50)</f>
        <v>0</v>
      </c>
      <c r="AC51" s="9">
        <f t="shared" ref="AC51" si="45">SUM(AC50)</f>
        <v>2000</v>
      </c>
      <c r="AD51" s="9">
        <f t="shared" si="44"/>
        <v>1677.13</v>
      </c>
      <c r="AE51" s="4">
        <f t="shared" si="44"/>
        <v>0</v>
      </c>
      <c r="AF51" s="9">
        <f t="shared" si="44"/>
        <v>2000</v>
      </c>
      <c r="AG51" s="9">
        <f t="shared" si="44"/>
        <v>1677.13</v>
      </c>
      <c r="AH51" s="22" t="e">
        <f>#REF!+#REF!+#REF!+#REF!+#REF!+#REF!+#REF!+#REF!</f>
        <v>#REF!</v>
      </c>
    </row>
    <row r="52" spans="1:34" x14ac:dyDescent="0.2">
      <c r="A52" s="14"/>
      <c r="B52" s="14"/>
      <c r="C52" s="4"/>
      <c r="D52" s="9"/>
      <c r="E52" s="9"/>
      <c r="F52" s="42"/>
      <c r="G52" s="22"/>
      <c r="H52" s="9"/>
      <c r="I52" s="54"/>
      <c r="J52" s="32"/>
      <c r="K52" s="32"/>
      <c r="L52" s="54"/>
      <c r="M52" s="32"/>
      <c r="N52" s="32"/>
      <c r="O52" s="33"/>
      <c r="P52" s="32"/>
      <c r="Q52" s="11"/>
      <c r="R52" s="39"/>
      <c r="S52" s="11"/>
      <c r="T52" s="61"/>
      <c r="U52" s="11"/>
      <c r="V52" s="6"/>
      <c r="W52" s="11"/>
      <c r="X52" s="11"/>
      <c r="Y52" s="6"/>
      <c r="Z52" s="11"/>
      <c r="AA52" s="11"/>
      <c r="AB52" s="42"/>
      <c r="AC52" s="22"/>
      <c r="AD52" s="9"/>
      <c r="AE52" s="4"/>
      <c r="AF52" s="9"/>
      <c r="AG52" s="9"/>
      <c r="AH52" s="22"/>
    </row>
    <row r="53" spans="1:34" s="1" customFormat="1" x14ac:dyDescent="0.2">
      <c r="A53" s="18" t="s">
        <v>11</v>
      </c>
      <c r="B53" s="18"/>
      <c r="C53" s="4">
        <f t="shared" ref="C53:R53" si="46">C41+C47+C51</f>
        <v>-52500</v>
      </c>
      <c r="D53" s="9">
        <f t="shared" ref="D53" si="47">D41+D47+D51</f>
        <v>-136800</v>
      </c>
      <c r="E53" s="9">
        <f t="shared" si="46"/>
        <v>-150201.5</v>
      </c>
      <c r="F53" s="4">
        <f t="shared" si="46"/>
        <v>0</v>
      </c>
      <c r="G53" s="9">
        <f t="shared" ref="G53" si="48">G41+G47+G51</f>
        <v>0</v>
      </c>
      <c r="H53" s="9">
        <f t="shared" si="46"/>
        <v>0</v>
      </c>
      <c r="I53" s="4">
        <f t="shared" si="46"/>
        <v>-7500</v>
      </c>
      <c r="J53" s="9">
        <f t="shared" ref="J53" si="49">J41+J47+J51</f>
        <v>-6500</v>
      </c>
      <c r="K53" s="9">
        <f t="shared" si="46"/>
        <v>-8801.0700000000015</v>
      </c>
      <c r="L53" s="4">
        <f t="shared" si="46"/>
        <v>1000</v>
      </c>
      <c r="M53" s="9">
        <f t="shared" ref="M53" si="50">M41+M47+M51</f>
        <v>-2200</v>
      </c>
      <c r="N53" s="9">
        <f t="shared" si="46"/>
        <v>-10542.76</v>
      </c>
      <c r="O53" s="4">
        <f t="shared" si="46"/>
        <v>-26700</v>
      </c>
      <c r="P53" s="9">
        <f t="shared" ref="P53" si="51">P41+P47+P51</f>
        <v>-44550</v>
      </c>
      <c r="Q53" s="9">
        <f t="shared" si="46"/>
        <v>-18499.600000000006</v>
      </c>
      <c r="R53" s="4">
        <f t="shared" si="46"/>
        <v>0</v>
      </c>
      <c r="S53" s="9"/>
      <c r="T53" s="4">
        <f>T41+T47+T51</f>
        <v>0</v>
      </c>
      <c r="U53" s="9">
        <f t="shared" ref="U53" si="52">U41+U47+U51</f>
        <v>0</v>
      </c>
      <c r="V53" s="6">
        <f>C53+F53+I53+L53+O53+R53+T53</f>
        <v>-85700</v>
      </c>
      <c r="W53" s="9">
        <f t="shared" ref="W53:AD53" si="53">W41+W47+W51</f>
        <v>-190050</v>
      </c>
      <c r="X53" s="9">
        <f t="shared" si="53"/>
        <v>-128702.39999999988</v>
      </c>
      <c r="Y53" s="4">
        <f t="shared" si="53"/>
        <v>-18300</v>
      </c>
      <c r="Z53" s="9">
        <f t="shared" ref="Z53" si="54">Z41+Z47+Z51</f>
        <v>-85100</v>
      </c>
      <c r="AA53" s="9">
        <f t="shared" si="53"/>
        <v>-74378.959999999992</v>
      </c>
      <c r="AB53" s="4">
        <f t="shared" si="53"/>
        <v>-89000</v>
      </c>
      <c r="AC53" s="9">
        <f t="shared" ref="AC53" si="55">AC41+AC47+AC51</f>
        <v>91150</v>
      </c>
      <c r="AD53" s="9">
        <f t="shared" si="53"/>
        <v>99111.48</v>
      </c>
      <c r="AE53" s="4">
        <f>V53+Y53+AB53</f>
        <v>-193000</v>
      </c>
      <c r="AF53" s="9">
        <f>AF41+AF47+AF51</f>
        <v>-184000</v>
      </c>
      <c r="AG53" s="9">
        <f>AG41+AG47+AG51</f>
        <v>-200285.29000000012</v>
      </c>
      <c r="AH53" s="22" t="e">
        <f>#REF!+#REF!+#REF!+#REF!+#REF!+#REF!+#REF!+#REF!</f>
        <v>#REF!</v>
      </c>
    </row>
    <row r="54" spans="1:34" x14ac:dyDescent="0.2">
      <c r="A54" s="18"/>
      <c r="B54" s="14"/>
      <c r="C54" s="4"/>
      <c r="D54" s="9"/>
      <c r="E54" s="9"/>
      <c r="F54" s="42"/>
      <c r="G54" s="22"/>
      <c r="H54" s="9"/>
      <c r="I54" s="54"/>
      <c r="J54" s="32"/>
      <c r="K54" s="32"/>
      <c r="L54" s="54"/>
      <c r="M54" s="32"/>
      <c r="N54" s="32"/>
      <c r="O54" s="33"/>
      <c r="P54" s="32"/>
      <c r="Q54" s="11"/>
      <c r="R54" s="39"/>
      <c r="S54" s="11"/>
      <c r="T54" s="61"/>
      <c r="U54" s="11"/>
      <c r="V54" s="6"/>
      <c r="W54" s="11"/>
      <c r="X54" s="11"/>
      <c r="Y54" s="6"/>
      <c r="Z54" s="11"/>
      <c r="AA54" s="11"/>
      <c r="AB54" s="42"/>
      <c r="AC54" s="22"/>
      <c r="AD54" s="9"/>
      <c r="AE54" s="4"/>
      <c r="AF54" s="9"/>
      <c r="AG54" s="9"/>
      <c r="AH54" s="22"/>
    </row>
    <row r="55" spans="1:34" x14ac:dyDescent="0.2">
      <c r="A55" s="18" t="s">
        <v>12</v>
      </c>
      <c r="B55" s="21"/>
      <c r="C55" s="4"/>
      <c r="D55" s="9"/>
      <c r="E55" s="9"/>
      <c r="F55" s="42"/>
      <c r="G55" s="22"/>
      <c r="H55" s="9"/>
      <c r="I55" s="54"/>
      <c r="J55" s="32"/>
      <c r="K55" s="32"/>
      <c r="L55" s="54"/>
      <c r="M55" s="32"/>
      <c r="N55" s="32"/>
      <c r="O55" s="33"/>
      <c r="P55" s="32"/>
      <c r="Q55" s="11"/>
      <c r="R55" s="39"/>
      <c r="S55" s="11"/>
      <c r="T55" s="61"/>
      <c r="U55" s="11"/>
      <c r="V55" s="6"/>
      <c r="W55" s="11"/>
      <c r="X55" s="11"/>
      <c r="Y55" s="6"/>
      <c r="Z55" s="11"/>
      <c r="AA55" s="11"/>
      <c r="AB55" s="42"/>
      <c r="AC55" s="22"/>
      <c r="AD55" s="9"/>
      <c r="AE55" s="4"/>
      <c r="AF55" s="9"/>
      <c r="AG55" s="9"/>
      <c r="AH55" s="22"/>
    </row>
    <row r="56" spans="1:34" x14ac:dyDescent="0.2">
      <c r="A56" s="14"/>
      <c r="B56" s="14" t="s">
        <v>13</v>
      </c>
      <c r="C56" s="5"/>
      <c r="D56" s="10"/>
      <c r="E56" s="10"/>
      <c r="F56" s="43"/>
      <c r="G56" s="26"/>
      <c r="H56" s="10"/>
      <c r="I56" s="55"/>
      <c r="J56" s="47"/>
      <c r="K56" s="47"/>
      <c r="L56" s="55"/>
      <c r="M56" s="47"/>
      <c r="N56" s="47"/>
      <c r="O56" s="34"/>
      <c r="P56" s="47"/>
      <c r="Q56" s="12"/>
      <c r="R56" s="40"/>
      <c r="S56" s="12"/>
      <c r="T56" s="62"/>
      <c r="U56" s="12"/>
      <c r="V56" s="8"/>
      <c r="W56" s="12"/>
      <c r="X56" s="12"/>
      <c r="Y56" s="8"/>
      <c r="Z56" s="12"/>
      <c r="AA56" s="12"/>
      <c r="AB56" s="43">
        <v>193000</v>
      </c>
      <c r="AC56" s="26">
        <v>184000</v>
      </c>
      <c r="AD56" s="10">
        <v>174000</v>
      </c>
      <c r="AE56" s="5">
        <f>V56+Y56+AB56</f>
        <v>193000</v>
      </c>
      <c r="AF56" s="10">
        <f>W56+Z56+AC56</f>
        <v>184000</v>
      </c>
      <c r="AG56" s="10">
        <f>X56+AA56+AD56</f>
        <v>174000</v>
      </c>
      <c r="AH56" s="26" t="e">
        <f>#REF!+#REF!+#REF!+#REF!+#REF!+#REF!+#REF!+#REF!</f>
        <v>#REF!</v>
      </c>
    </row>
    <row r="57" spans="1:34" x14ac:dyDescent="0.2">
      <c r="A57" s="14"/>
      <c r="B57" s="14" t="s">
        <v>14</v>
      </c>
      <c r="C57" s="4">
        <f>C56</f>
        <v>0</v>
      </c>
      <c r="D57" s="9">
        <f>D56</f>
        <v>0</v>
      </c>
      <c r="E57" s="9">
        <v>0</v>
      </c>
      <c r="F57" s="4">
        <f t="shared" ref="F57:O57" si="56">F56</f>
        <v>0</v>
      </c>
      <c r="G57" s="9">
        <f t="shared" ref="G57" si="57">G56</f>
        <v>0</v>
      </c>
      <c r="H57" s="9">
        <f t="shared" si="56"/>
        <v>0</v>
      </c>
      <c r="I57" s="4">
        <f t="shared" si="56"/>
        <v>0</v>
      </c>
      <c r="J57" s="9">
        <f t="shared" ref="J57" si="58">J56</f>
        <v>0</v>
      </c>
      <c r="K57" s="9">
        <f t="shared" si="56"/>
        <v>0</v>
      </c>
      <c r="L57" s="4">
        <f t="shared" si="56"/>
        <v>0</v>
      </c>
      <c r="M57" s="9">
        <f t="shared" ref="M57" si="59">M56</f>
        <v>0</v>
      </c>
      <c r="N57" s="9">
        <f t="shared" si="56"/>
        <v>0</v>
      </c>
      <c r="O57" s="4">
        <f t="shared" si="56"/>
        <v>0</v>
      </c>
      <c r="P57" s="9">
        <f t="shared" ref="P57" si="60">P56</f>
        <v>0</v>
      </c>
      <c r="Q57" s="9"/>
      <c r="R57" s="4">
        <f>R56</f>
        <v>0</v>
      </c>
      <c r="S57" s="9"/>
      <c r="T57" s="4">
        <f>T56</f>
        <v>0</v>
      </c>
      <c r="U57" s="9"/>
      <c r="V57" s="4">
        <f t="shared" ref="V57:AD57" si="61">V56</f>
        <v>0</v>
      </c>
      <c r="W57" s="9">
        <f t="shared" si="61"/>
        <v>0</v>
      </c>
      <c r="X57" s="9">
        <f t="shared" si="61"/>
        <v>0</v>
      </c>
      <c r="Y57" s="4">
        <f t="shared" si="61"/>
        <v>0</v>
      </c>
      <c r="Z57" s="9">
        <f t="shared" ref="Z57" si="62">Z56</f>
        <v>0</v>
      </c>
      <c r="AA57" s="9">
        <f t="shared" si="61"/>
        <v>0</v>
      </c>
      <c r="AB57" s="4">
        <f t="shared" si="61"/>
        <v>193000</v>
      </c>
      <c r="AC57" s="9">
        <f t="shared" ref="AC57" si="63">AC56</f>
        <v>184000</v>
      </c>
      <c r="AD57" s="9">
        <f t="shared" si="61"/>
        <v>174000</v>
      </c>
      <c r="AE57" s="4">
        <f>V57+Y57+AB57</f>
        <v>193000</v>
      </c>
      <c r="AF57" s="9">
        <f>AF56</f>
        <v>184000</v>
      </c>
      <c r="AG57" s="9">
        <f>AG56</f>
        <v>174000</v>
      </c>
      <c r="AH57" s="22" t="e">
        <f>#REF!+#REF!+#REF!+#REF!+#REF!+#REF!+#REF!+#REF!</f>
        <v>#REF!</v>
      </c>
    </row>
    <row r="58" spans="1:34" x14ac:dyDescent="0.2">
      <c r="A58" s="14"/>
      <c r="B58" s="14"/>
      <c r="C58" s="5"/>
      <c r="D58" s="10"/>
      <c r="E58" s="10"/>
      <c r="F58" s="43"/>
      <c r="G58" s="26"/>
      <c r="H58" s="10"/>
      <c r="I58" s="55"/>
      <c r="J58" s="47"/>
      <c r="K58" s="47"/>
      <c r="L58" s="55"/>
      <c r="M58" s="47"/>
      <c r="N58" s="47"/>
      <c r="O58" s="34"/>
      <c r="P58" s="47"/>
      <c r="Q58" s="12"/>
      <c r="R58" s="40"/>
      <c r="S58" s="12"/>
      <c r="T58" s="62"/>
      <c r="U58" s="12"/>
      <c r="V58" s="8"/>
      <c r="W58" s="12"/>
      <c r="X58" s="12"/>
      <c r="Y58" s="8"/>
      <c r="Z58" s="12"/>
      <c r="AA58" s="12"/>
      <c r="AB58" s="43"/>
      <c r="AC58" s="26"/>
      <c r="AD58" s="10"/>
      <c r="AE58" s="5"/>
      <c r="AF58" s="10"/>
      <c r="AG58" s="10"/>
      <c r="AH58" s="26"/>
    </row>
    <row r="59" spans="1:34" s="1" customFormat="1" ht="13.5" thickBot="1" x14ac:dyDescent="0.25">
      <c r="A59" s="18" t="s">
        <v>15</v>
      </c>
      <c r="B59" s="18"/>
      <c r="C59" s="23">
        <f t="shared" ref="C59:R59" si="64">C53+C57</f>
        <v>-52500</v>
      </c>
      <c r="D59" s="13">
        <f t="shared" ref="D59" si="65">D53+D57</f>
        <v>-136800</v>
      </c>
      <c r="E59" s="13">
        <f t="shared" si="64"/>
        <v>-150201.5</v>
      </c>
      <c r="F59" s="23">
        <f t="shared" si="64"/>
        <v>0</v>
      </c>
      <c r="G59" s="13">
        <f t="shared" ref="G59" si="66">G53+G57</f>
        <v>0</v>
      </c>
      <c r="H59" s="13">
        <f t="shared" si="64"/>
        <v>0</v>
      </c>
      <c r="I59" s="23">
        <f t="shared" si="64"/>
        <v>-7500</v>
      </c>
      <c r="J59" s="13">
        <f t="shared" ref="J59" si="67">J53+J57</f>
        <v>-6500</v>
      </c>
      <c r="K59" s="13">
        <f t="shared" si="64"/>
        <v>-8801.0700000000015</v>
      </c>
      <c r="L59" s="23">
        <f t="shared" si="64"/>
        <v>1000</v>
      </c>
      <c r="M59" s="13">
        <f t="shared" ref="M59" si="68">M53+M57</f>
        <v>-2200</v>
      </c>
      <c r="N59" s="13">
        <f t="shared" si="64"/>
        <v>-10542.76</v>
      </c>
      <c r="O59" s="23">
        <f t="shared" si="64"/>
        <v>-26700</v>
      </c>
      <c r="P59" s="13">
        <f t="shared" ref="P59" si="69">P53+P57</f>
        <v>-44550</v>
      </c>
      <c r="Q59" s="13">
        <f t="shared" si="64"/>
        <v>-18499.600000000006</v>
      </c>
      <c r="R59" s="23">
        <f t="shared" si="64"/>
        <v>0</v>
      </c>
      <c r="S59" s="13"/>
      <c r="T59" s="23">
        <f>T53+T57</f>
        <v>0</v>
      </c>
      <c r="U59" s="13">
        <f t="shared" ref="U59" si="70">U53+U57</f>
        <v>0</v>
      </c>
      <c r="V59" s="51">
        <f>C59+F59+I59+L59+O59+R59+T59</f>
        <v>-85700</v>
      </c>
      <c r="W59" s="13">
        <f t="shared" ref="W59:AD59" si="71">W53+W57</f>
        <v>-190050</v>
      </c>
      <c r="X59" s="13">
        <f t="shared" si="71"/>
        <v>-128702.39999999988</v>
      </c>
      <c r="Y59" s="23">
        <f t="shared" si="71"/>
        <v>-18300</v>
      </c>
      <c r="Z59" s="13">
        <f t="shared" ref="Z59" si="72">Z53+Z57</f>
        <v>-85100</v>
      </c>
      <c r="AA59" s="13">
        <f t="shared" si="71"/>
        <v>-74378.959999999992</v>
      </c>
      <c r="AB59" s="23">
        <f t="shared" si="71"/>
        <v>104000</v>
      </c>
      <c r="AC59" s="13">
        <f t="shared" ref="AC59" si="73">AC53+AC57</f>
        <v>275150</v>
      </c>
      <c r="AD59" s="13">
        <f t="shared" si="71"/>
        <v>273111.48</v>
      </c>
      <c r="AE59" s="23">
        <f>V59+Y59+AB59</f>
        <v>0</v>
      </c>
      <c r="AF59" s="13">
        <f>AF53+AF57</f>
        <v>0</v>
      </c>
      <c r="AG59" s="13">
        <f>AG53+AG57</f>
        <v>-26285.290000000125</v>
      </c>
      <c r="AH59" s="49"/>
    </row>
    <row r="60" spans="1:34" ht="13.5" thickTop="1" x14ac:dyDescent="0.2">
      <c r="L60" s="16"/>
      <c r="M60" s="16"/>
      <c r="N60" s="16"/>
      <c r="S60" s="16"/>
    </row>
    <row r="61" spans="1:34" x14ac:dyDescent="0.2">
      <c r="AB61" s="53"/>
      <c r="AC61" s="50"/>
    </row>
  </sheetData>
  <mergeCells count="11">
    <mergeCell ref="R7:S7"/>
    <mergeCell ref="C7:E7"/>
    <mergeCell ref="F7:H7"/>
    <mergeCell ref="I7:K7"/>
    <mergeCell ref="L7:N7"/>
    <mergeCell ref="O7:Q7"/>
    <mergeCell ref="T7:U7"/>
    <mergeCell ref="V7:X7"/>
    <mergeCell ref="Y7:AA7"/>
    <mergeCell ref="AB7:AD7"/>
    <mergeCell ref="AE7:AH7"/>
  </mergeCells>
  <pageMargins left="0.75" right="0.75" top="1" bottom="1" header="0.4921259845" footer="0.4921259845"/>
  <pageSetup paperSize="8" scale="60" fitToHeight="0" orientation="landscape" r:id="rId1"/>
  <headerFooter alignWithMargins="0">
    <oddHeader>&amp;C&amp;"Gill Sans MT,Lihavoitu"Suomen ammatillisen koulutuksen
kulttuuri- ja urheiluliitto, SAKU ry.</oddHeader>
  </headerFooter>
  <rowBreaks count="1" manualBreakCount="1">
    <brk id="60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2019-2020</vt:lpstr>
      <vt:lpstr>'2019-2020'!Tulostusalue</vt:lpstr>
    </vt:vector>
  </TitlesOfParts>
  <Company>SAKU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Saija Sippola</dc:creator>
  <cp:lastModifiedBy>Saija Sippola</cp:lastModifiedBy>
  <cp:lastPrinted>2019-05-01T17:18:08Z</cp:lastPrinted>
  <dcterms:created xsi:type="dcterms:W3CDTF">2003-10-23T03:32:02Z</dcterms:created>
  <dcterms:modified xsi:type="dcterms:W3CDTF">2019-05-07T14:17:06Z</dcterms:modified>
</cp:coreProperties>
</file>